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DARTES\SAF\Proceso Gestion de Bienes\"/>
    </mc:Choice>
  </mc:AlternateContent>
  <xr:revisionPtr revIDLastSave="0" documentId="13_ncr:1_{44A40EB7-4AF7-400C-91D4-0E01B052A72A}" xr6:coauthVersionLast="47" xr6:coauthVersionMax="47" xr10:uidLastSave="{00000000-0000-0000-0000-000000000000}"/>
  <bookViews>
    <workbookView xWindow="-110" yWindow="-110" windowWidth="19420" windowHeight="10420" tabRatio="775" xr2:uid="{00000000-000D-0000-FFFF-FFFF00000000}"/>
  </bookViews>
  <sheets>
    <sheet name="CUADRO CONTROL PRESUPUESTAL" sheetId="1" r:id="rId1"/>
    <sheet name="TERPEL OC 67878- 2021 COMBUSTIB" sheetId="9" state="hidden" r:id="rId2"/>
    <sheet name="PAPELERÍA 1787-2019" sheetId="10" state="hidden" r:id="rId3"/>
    <sheet name="FERR 1616-L1-2019" sheetId="11" state="hidden" r:id="rId4"/>
    <sheet name="FERR 1616-L2-2019" sheetId="12" state="hidden" r:id="rId5"/>
    <sheet name="FERR 1616-L3-2019" sheetId="13" state="hidden" r:id="rId6"/>
    <sheet name="Hoja 43" sheetId="14" state="hidden" r:id="rId7"/>
    <sheet name="FERR 1616-2019" sheetId="21" state="hidden" r:id="rId8"/>
    <sheet name="FERR 1617-L4-2019" sheetId="22" state="hidden" r:id="rId9"/>
    <sheet name="ASEO-ASEOCOLBA 2020" sheetId="25" state="hidden" r:id="rId10"/>
    <sheet name="PRUEBA DE ASEO 2021" sheetId="26" state="hidden" r:id="rId11"/>
    <sheet name="FERR 1616-L1-2019 (1)" sheetId="32" state="hidden" r:id="rId12"/>
    <sheet name="FERR 1616-L2-2019 (1)" sheetId="33" state="hidden" r:id="rId13"/>
    <sheet name="FERR 1616-L3-2019 (1)" sheetId="34" state="hidden" r:id="rId14"/>
    <sheet name="PAPELERÍA 1787-2019 (1)" sheetId="35" state="hidden" r:id="rId15"/>
    <sheet name="VIGILANCIA 1304-2019 (1)" sheetId="36" state="hidden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C40" i="36"/>
  <c r="B40" i="36"/>
  <c r="D40" i="36" s="1"/>
  <c r="K32" i="36"/>
  <c r="I27" i="36"/>
  <c r="I28" i="36" s="1"/>
  <c r="H27" i="36"/>
  <c r="H28" i="36" s="1"/>
  <c r="F27" i="36"/>
  <c r="F28" i="36" s="1"/>
  <c r="E27" i="36"/>
  <c r="E28" i="36" s="1"/>
  <c r="K26" i="36"/>
  <c r="K25" i="36"/>
  <c r="K24" i="36"/>
  <c r="K23" i="36"/>
  <c r="J22" i="36"/>
  <c r="K22" i="36" s="1"/>
  <c r="K21" i="36"/>
  <c r="K20" i="36"/>
  <c r="D19" i="36"/>
  <c r="K19" i="36" s="1"/>
  <c r="K18" i="36"/>
  <c r="C17" i="36"/>
  <c r="G16" i="36"/>
  <c r="G27" i="36" s="1"/>
  <c r="G28" i="36" s="1"/>
  <c r="B16" i="36"/>
  <c r="K15" i="36"/>
  <c r="K14" i="36"/>
  <c r="D13" i="36"/>
  <c r="K13" i="36" s="1"/>
  <c r="K12" i="36"/>
  <c r="L12" i="36" s="1"/>
  <c r="B11" i="36"/>
  <c r="H10" i="36"/>
  <c r="B10" i="36"/>
  <c r="K31" i="36" s="1"/>
  <c r="E37" i="35"/>
  <c r="D37" i="35"/>
  <c r="C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C15" i="35"/>
  <c r="C10" i="35"/>
  <c r="C26" i="34"/>
  <c r="G25" i="34"/>
  <c r="G26" i="34" s="1"/>
  <c r="F25" i="34"/>
  <c r="F26" i="34" s="1"/>
  <c r="E25" i="34"/>
  <c r="E26" i="34" s="1"/>
  <c r="D25" i="34"/>
  <c r="D26" i="34" s="1"/>
  <c r="C25" i="34"/>
  <c r="B25" i="34"/>
  <c r="H24" i="34"/>
  <c r="H23" i="34"/>
  <c r="H22" i="34"/>
  <c r="H21" i="34"/>
  <c r="H20" i="34"/>
  <c r="H19" i="34"/>
  <c r="H18" i="34"/>
  <c r="H17" i="34"/>
  <c r="H16" i="34"/>
  <c r="H15" i="34"/>
  <c r="H14" i="34"/>
  <c r="I14" i="34" s="1"/>
  <c r="H13" i="34"/>
  <c r="I13" i="34" s="1"/>
  <c r="J13" i="34" s="1"/>
  <c r="I12" i="34"/>
  <c r="B11" i="34"/>
  <c r="H10" i="34"/>
  <c r="B35" i="33"/>
  <c r="H30" i="33"/>
  <c r="H35" i="33" s="1"/>
  <c r="G30" i="33"/>
  <c r="G35" i="33" s="1"/>
  <c r="F30" i="33"/>
  <c r="F35" i="33" s="1"/>
  <c r="E30" i="33"/>
  <c r="E35" i="33" s="1"/>
  <c r="D30" i="33"/>
  <c r="D35" i="33" s="1"/>
  <c r="C30" i="33"/>
  <c r="C35" i="33" s="1"/>
  <c r="B30" i="33"/>
  <c r="H25" i="33"/>
  <c r="H26" i="33" s="1"/>
  <c r="G25" i="33"/>
  <c r="G26" i="33" s="1"/>
  <c r="F25" i="33"/>
  <c r="F26" i="33" s="1"/>
  <c r="E25" i="33"/>
  <c r="E26" i="33" s="1"/>
  <c r="D25" i="33"/>
  <c r="C25" i="33"/>
  <c r="C26" i="33" s="1"/>
  <c r="B25" i="33"/>
  <c r="B26" i="33" s="1"/>
  <c r="I24" i="33"/>
  <c r="I23" i="33"/>
  <c r="I22" i="33"/>
  <c r="I21" i="33"/>
  <c r="I20" i="33"/>
  <c r="I19" i="33"/>
  <c r="I18" i="33"/>
  <c r="L18" i="33" s="1"/>
  <c r="I17" i="33"/>
  <c r="I16" i="33"/>
  <c r="I15" i="33"/>
  <c r="L15" i="33" s="1"/>
  <c r="I14" i="33"/>
  <c r="I13" i="33"/>
  <c r="L13" i="33" s="1"/>
  <c r="J12" i="33"/>
  <c r="B11" i="33"/>
  <c r="I10" i="33"/>
  <c r="F25" i="32"/>
  <c r="F24" i="32"/>
  <c r="E24" i="32"/>
  <c r="E25" i="32" s="1"/>
  <c r="D24" i="32"/>
  <c r="D25" i="32" s="1"/>
  <c r="C24" i="32"/>
  <c r="C25" i="32" s="1"/>
  <c r="B24" i="32"/>
  <c r="B25" i="32" s="1"/>
  <c r="G23" i="32"/>
  <c r="G22" i="32"/>
  <c r="G21" i="32"/>
  <c r="G20" i="32"/>
  <c r="G19" i="32"/>
  <c r="G18" i="32"/>
  <c r="G17" i="32"/>
  <c r="G16" i="32"/>
  <c r="G15" i="32"/>
  <c r="G14" i="32"/>
  <c r="G13" i="32"/>
  <c r="G12" i="32"/>
  <c r="H12" i="32" s="1"/>
  <c r="B11" i="32"/>
  <c r="G10" i="32"/>
  <c r="F40" i="26"/>
  <c r="G39" i="26"/>
  <c r="H39" i="26" s="1"/>
  <c r="G38" i="26"/>
  <c r="H38" i="26" s="1"/>
  <c r="H37" i="26"/>
  <c r="G37" i="26"/>
  <c r="D32" i="26"/>
  <c r="C32" i="26"/>
  <c r="G31" i="26"/>
  <c r="G30" i="26"/>
  <c r="G29" i="26"/>
  <c r="G28" i="26"/>
  <c r="G27" i="26"/>
  <c r="E24" i="26"/>
  <c r="G24" i="26" s="1"/>
  <c r="E23" i="26"/>
  <c r="G23" i="26" s="1"/>
  <c r="E22" i="26"/>
  <c r="G22" i="26" s="1"/>
  <c r="G21" i="26"/>
  <c r="E20" i="26"/>
  <c r="G20" i="26" s="1"/>
  <c r="G19" i="26"/>
  <c r="G18" i="26"/>
  <c r="G17" i="26"/>
  <c r="G16" i="26"/>
  <c r="G15" i="26"/>
  <c r="F13" i="26"/>
  <c r="E13" i="26"/>
  <c r="D13" i="26"/>
  <c r="D33" i="26" s="1"/>
  <c r="C13" i="26"/>
  <c r="C10" i="26"/>
  <c r="E32" i="25"/>
  <c r="E33" i="25" s="1"/>
  <c r="C32" i="25"/>
  <c r="F31" i="25"/>
  <c r="F30" i="25"/>
  <c r="F29" i="25"/>
  <c r="F28" i="25"/>
  <c r="F27" i="25"/>
  <c r="F26" i="25"/>
  <c r="F25" i="25"/>
  <c r="F24" i="25"/>
  <c r="F23" i="25"/>
  <c r="B22" i="25"/>
  <c r="F21" i="25"/>
  <c r="F20" i="25"/>
  <c r="F19" i="25"/>
  <c r="F18" i="25"/>
  <c r="F17" i="25"/>
  <c r="D16" i="25"/>
  <c r="D32" i="25" s="1"/>
  <c r="F15" i="25"/>
  <c r="D13" i="25"/>
  <c r="C13" i="25"/>
  <c r="C33" i="25" s="1"/>
  <c r="B13" i="25"/>
  <c r="B10" i="25"/>
  <c r="B14" i="25" s="1"/>
  <c r="F42" i="22"/>
  <c r="I38" i="22"/>
  <c r="I37" i="22"/>
  <c r="F33" i="22"/>
  <c r="D32" i="22"/>
  <c r="D33" i="22" s="1"/>
  <c r="D31" i="22"/>
  <c r="E26" i="22"/>
  <c r="I25" i="22"/>
  <c r="H25" i="22"/>
  <c r="H26" i="22" s="1"/>
  <c r="C27" i="22" s="1"/>
  <c r="G25" i="22"/>
  <c r="E25" i="22"/>
  <c r="D25" i="22"/>
  <c r="D26" i="22" s="1"/>
  <c r="C25" i="22"/>
  <c r="C26" i="22" s="1"/>
  <c r="B25" i="22"/>
  <c r="B26" i="22" s="1"/>
  <c r="L24" i="22"/>
  <c r="L23" i="22"/>
  <c r="L22" i="22"/>
  <c r="J21" i="22"/>
  <c r="L21" i="22" s="1"/>
  <c r="K20" i="22"/>
  <c r="L20" i="22" s="1"/>
  <c r="J19" i="22"/>
  <c r="F18" i="22"/>
  <c r="L18" i="22" s="1"/>
  <c r="L33" i="22" s="1"/>
  <c r="L17" i="22"/>
  <c r="L16" i="22"/>
  <c r="L15" i="22"/>
  <c r="L14" i="22"/>
  <c r="F13" i="22"/>
  <c r="F25" i="22" s="1"/>
  <c r="F26" i="22" s="1"/>
  <c r="B11" i="22"/>
  <c r="K10" i="22"/>
  <c r="J10" i="22"/>
  <c r="I10" i="22"/>
  <c r="I26" i="22" s="1"/>
  <c r="H10" i="22"/>
  <c r="G10" i="22"/>
  <c r="F1" i="22"/>
  <c r="K36" i="21"/>
  <c r="I26" i="21"/>
  <c r="L25" i="21"/>
  <c r="I25" i="21"/>
  <c r="H25" i="21"/>
  <c r="H26" i="21" s="1"/>
  <c r="G25" i="21"/>
  <c r="G26" i="21" s="1"/>
  <c r="G27" i="21" s="1"/>
  <c r="F25" i="21"/>
  <c r="F26" i="21" s="1"/>
  <c r="E25" i="21"/>
  <c r="E26" i="21" s="1"/>
  <c r="D25" i="21"/>
  <c r="D26" i="21" s="1"/>
  <c r="C25" i="21"/>
  <c r="C26" i="21" s="1"/>
  <c r="B25" i="21"/>
  <c r="N24" i="21"/>
  <c r="M23" i="21"/>
  <c r="K22" i="21"/>
  <c r="N22" i="21" s="1"/>
  <c r="N21" i="21"/>
  <c r="F20" i="21"/>
  <c r="N20" i="21" s="1"/>
  <c r="N19" i="21"/>
  <c r="N18" i="21"/>
  <c r="J17" i="21"/>
  <c r="J25" i="21" s="1"/>
  <c r="J26" i="21" s="1"/>
  <c r="N16" i="21"/>
  <c r="N15" i="21"/>
  <c r="R15" i="21" s="1"/>
  <c r="N14" i="21"/>
  <c r="O13" i="21"/>
  <c r="N13" i="21"/>
  <c r="O12" i="21"/>
  <c r="B11" i="21"/>
  <c r="M10" i="21"/>
  <c r="L10" i="21"/>
  <c r="L26" i="21" s="1"/>
  <c r="K10" i="21"/>
  <c r="J10" i="21"/>
  <c r="I10" i="21"/>
  <c r="C50" i="14"/>
  <c r="C15" i="14"/>
  <c r="C11" i="14"/>
  <c r="F26" i="13"/>
  <c r="E26" i="13"/>
  <c r="G25" i="13"/>
  <c r="G26" i="13" s="1"/>
  <c r="F25" i="13"/>
  <c r="E25" i="13"/>
  <c r="D25" i="13"/>
  <c r="D26" i="13" s="1"/>
  <c r="C25" i="13"/>
  <c r="C26" i="13" s="1"/>
  <c r="B25" i="13"/>
  <c r="B26" i="13" s="1"/>
  <c r="H24" i="13"/>
  <c r="H23" i="13"/>
  <c r="H22" i="13"/>
  <c r="H21" i="13"/>
  <c r="H20" i="13"/>
  <c r="H19" i="13"/>
  <c r="H18" i="13"/>
  <c r="H17" i="13"/>
  <c r="H16" i="13"/>
  <c r="H15" i="13"/>
  <c r="H14" i="13"/>
  <c r="I13" i="13"/>
  <c r="I14" i="13" s="1"/>
  <c r="J14" i="13" s="1"/>
  <c r="H13" i="13"/>
  <c r="I12" i="13"/>
  <c r="B11" i="13"/>
  <c r="J13" i="13" s="1"/>
  <c r="H10" i="13"/>
  <c r="H35" i="12"/>
  <c r="H30" i="12"/>
  <c r="G30" i="12"/>
  <c r="G35" i="12" s="1"/>
  <c r="F30" i="12"/>
  <c r="F35" i="12" s="1"/>
  <c r="E30" i="12"/>
  <c r="E35" i="12" s="1"/>
  <c r="D30" i="12"/>
  <c r="D35" i="12" s="1"/>
  <c r="C30" i="12"/>
  <c r="C35" i="12" s="1"/>
  <c r="B30" i="12"/>
  <c r="H25" i="12"/>
  <c r="H26" i="12" s="1"/>
  <c r="G25" i="12"/>
  <c r="G26" i="12" s="1"/>
  <c r="F25" i="12"/>
  <c r="F26" i="12" s="1"/>
  <c r="E25" i="12"/>
  <c r="E26" i="12" s="1"/>
  <c r="D25" i="12"/>
  <c r="D26" i="12" s="1"/>
  <c r="C25" i="12"/>
  <c r="C26" i="12" s="1"/>
  <c r="B25" i="12"/>
  <c r="I24" i="12"/>
  <c r="I23" i="12"/>
  <c r="I22" i="12"/>
  <c r="I21" i="12"/>
  <c r="I20" i="12"/>
  <c r="I19" i="12"/>
  <c r="L18" i="12"/>
  <c r="I18" i="12"/>
  <c r="I17" i="12"/>
  <c r="I16" i="12"/>
  <c r="L16" i="12" s="1"/>
  <c r="I15" i="12"/>
  <c r="I14" i="12"/>
  <c r="L14" i="12" s="1"/>
  <c r="I13" i="12"/>
  <c r="J13" i="12" s="1"/>
  <c r="J12" i="12"/>
  <c r="B11" i="12"/>
  <c r="I10" i="12"/>
  <c r="F24" i="11"/>
  <c r="F25" i="11" s="1"/>
  <c r="E24" i="11"/>
  <c r="E25" i="11" s="1"/>
  <c r="D24" i="11"/>
  <c r="D25" i="11" s="1"/>
  <c r="C24" i="11"/>
  <c r="C25" i="11" s="1"/>
  <c r="B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H12" i="11" s="1"/>
  <c r="B11" i="11"/>
  <c r="B31" i="12" s="1"/>
  <c r="G10" i="11"/>
  <c r="F28" i="10"/>
  <c r="F27" i="10"/>
  <c r="E27" i="10"/>
  <c r="E28" i="10" s="1"/>
  <c r="D27" i="10"/>
  <c r="D28" i="10" s="1"/>
  <c r="J26" i="10"/>
  <c r="G26" i="10"/>
  <c r="G25" i="10"/>
  <c r="G24" i="10"/>
  <c r="G23" i="10"/>
  <c r="G22" i="10"/>
  <c r="G21" i="10"/>
  <c r="G20" i="10"/>
  <c r="C19" i="10"/>
  <c r="C27" i="10" s="1"/>
  <c r="C28" i="10" s="1"/>
  <c r="G18" i="10"/>
  <c r="G17" i="10"/>
  <c r="G16" i="10"/>
  <c r="G15" i="10"/>
  <c r="B15" i="10"/>
  <c r="B27" i="10" s="1"/>
  <c r="B10" i="10"/>
  <c r="B14" i="10" s="1"/>
  <c r="C37" i="9"/>
  <c r="E36" i="9"/>
  <c r="E37" i="9" s="1"/>
  <c r="D36" i="9"/>
  <c r="D37" i="9" s="1"/>
  <c r="C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C15" i="9"/>
  <c r="C10" i="9"/>
  <c r="F26" i="1"/>
  <c r="F27" i="1" s="1"/>
  <c r="C26" i="1"/>
  <c r="C27" i="1" s="1"/>
  <c r="B26" i="1"/>
  <c r="E26" i="1"/>
  <c r="E27" i="1" s="1"/>
  <c r="D26" i="1"/>
  <c r="D27" i="1" s="1"/>
  <c r="H13" i="32" l="1"/>
  <c r="I12" i="32"/>
  <c r="L17" i="12"/>
  <c r="O14" i="21"/>
  <c r="J25" i="22"/>
  <c r="L14" i="33"/>
  <c r="K33" i="36"/>
  <c r="I25" i="12"/>
  <c r="D33" i="25"/>
  <c r="G16" i="9"/>
  <c r="C51" i="14"/>
  <c r="G26" i="22"/>
  <c r="B31" i="33"/>
  <c r="D27" i="36"/>
  <c r="D28" i="36" s="1"/>
  <c r="G19" i="10"/>
  <c r="B27" i="13"/>
  <c r="L15" i="12"/>
  <c r="C16" i="14"/>
  <c r="N17" i="21"/>
  <c r="K25" i="22"/>
  <c r="L17" i="33"/>
  <c r="K25" i="21"/>
  <c r="K26" i="21" s="1"/>
  <c r="F27" i="21" s="1"/>
  <c r="B27" i="22"/>
  <c r="C14" i="26"/>
  <c r="J26" i="22"/>
  <c r="J13" i="33"/>
  <c r="J14" i="33" s="1"/>
  <c r="J15" i="33" s="1"/>
  <c r="K15" i="33" s="1"/>
  <c r="H15" i="10"/>
  <c r="I15" i="13"/>
  <c r="D26" i="33"/>
  <c r="B27" i="33" s="1"/>
  <c r="I25" i="33"/>
  <c r="H16" i="10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I12" i="11"/>
  <c r="B25" i="11"/>
  <c r="G24" i="11"/>
  <c r="B32" i="12" s="1"/>
  <c r="B33" i="12" s="1"/>
  <c r="I11" i="21"/>
  <c r="B12" i="21" s="1"/>
  <c r="C27" i="21"/>
  <c r="E27" i="22"/>
  <c r="F36" i="35"/>
  <c r="C37" i="35"/>
  <c r="C38" i="35" s="1"/>
  <c r="B27" i="1"/>
  <c r="C38" i="9"/>
  <c r="J27" i="10"/>
  <c r="J30" i="10"/>
  <c r="L13" i="12"/>
  <c r="L19" i="12" s="1"/>
  <c r="H25" i="13"/>
  <c r="P13" i="21"/>
  <c r="M25" i="21"/>
  <c r="M26" i="21" s="1"/>
  <c r="H27" i="21" s="1"/>
  <c r="N23" i="21"/>
  <c r="F26" i="26"/>
  <c r="G26" i="26" s="1"/>
  <c r="F25" i="26"/>
  <c r="B26" i="32"/>
  <c r="G25" i="32"/>
  <c r="G26" i="1"/>
  <c r="G27" i="1" s="1"/>
  <c r="L13" i="36"/>
  <c r="M12" i="36"/>
  <c r="K13" i="12"/>
  <c r="J14" i="12"/>
  <c r="O15" i="21"/>
  <c r="P14" i="21"/>
  <c r="I18" i="1"/>
  <c r="F36" i="9"/>
  <c r="G27" i="10"/>
  <c r="B28" i="10"/>
  <c r="B29" i="10" s="1"/>
  <c r="H13" i="11"/>
  <c r="B26" i="12"/>
  <c r="B27" i="12" s="1"/>
  <c r="B35" i="12"/>
  <c r="B36" i="12" s="1"/>
  <c r="I30" i="12"/>
  <c r="H26" i="13"/>
  <c r="B26" i="21"/>
  <c r="G11" i="22"/>
  <c r="B12" i="22" s="1"/>
  <c r="D27" i="22"/>
  <c r="K26" i="22"/>
  <c r="F27" i="22" s="1"/>
  <c r="F35" i="22"/>
  <c r="F43" i="22" s="1"/>
  <c r="C33" i="26"/>
  <c r="I15" i="34"/>
  <c r="J14" i="34"/>
  <c r="E31" i="36"/>
  <c r="G17" i="9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F16" i="25"/>
  <c r="H40" i="26"/>
  <c r="H41" i="26" s="1"/>
  <c r="B32" i="25"/>
  <c r="F22" i="25"/>
  <c r="B36" i="33"/>
  <c r="B27" i="36"/>
  <c r="K16" i="36"/>
  <c r="L13" i="22"/>
  <c r="L19" i="22"/>
  <c r="G15" i="25"/>
  <c r="G17" i="25" s="1"/>
  <c r="G18" i="25" s="1"/>
  <c r="G19" i="25" s="1"/>
  <c r="G20" i="25" s="1"/>
  <c r="G21" i="25" s="1"/>
  <c r="I30" i="33"/>
  <c r="E32" i="26"/>
  <c r="E33" i="26" s="1"/>
  <c r="B26" i="34"/>
  <c r="H25" i="34"/>
  <c r="G16" i="35"/>
  <c r="G17" i="35" s="1"/>
  <c r="G18" i="35" s="1"/>
  <c r="G19" i="35" s="1"/>
  <c r="G20" i="35" s="1"/>
  <c r="G21" i="35" s="1"/>
  <c r="G22" i="35" s="1"/>
  <c r="G23" i="35" s="1"/>
  <c r="G24" i="35" s="1"/>
  <c r="G25" i="35" s="1"/>
  <c r="G26" i="35" s="1"/>
  <c r="G27" i="35" s="1"/>
  <c r="G28" i="35" s="1"/>
  <c r="G29" i="35" s="1"/>
  <c r="G30" i="35" s="1"/>
  <c r="G31" i="35" s="1"/>
  <c r="G32" i="35" s="1"/>
  <c r="G33" i="35" s="1"/>
  <c r="G34" i="35" s="1"/>
  <c r="G35" i="35" s="1"/>
  <c r="G24" i="32"/>
  <c r="L16" i="33"/>
  <c r="L19" i="33" s="1"/>
  <c r="C27" i="36"/>
  <c r="C28" i="36" s="1"/>
  <c r="K17" i="36"/>
  <c r="J27" i="36"/>
  <c r="J28" i="36" s="1"/>
  <c r="H17" i="26" l="1"/>
  <c r="H18" i="26" s="1"/>
  <c r="H19" i="26" s="1"/>
  <c r="H20" i="26" s="1"/>
  <c r="H21" i="26" s="1"/>
  <c r="H22" i="26" s="1"/>
  <c r="H23" i="26" s="1"/>
  <c r="H24" i="26" s="1"/>
  <c r="B28" i="1"/>
  <c r="H27" i="1"/>
  <c r="C52" i="14"/>
  <c r="D17" i="14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D30" i="14" s="1"/>
  <c r="D31" i="14" s="1"/>
  <c r="D32" i="14" s="1"/>
  <c r="D33" i="14" s="1"/>
  <c r="D34" i="14" s="1"/>
  <c r="D35" i="14" s="1"/>
  <c r="D36" i="14" s="1"/>
  <c r="D37" i="14" s="1"/>
  <c r="D38" i="14" s="1"/>
  <c r="D39" i="14" s="1"/>
  <c r="D40" i="14" s="1"/>
  <c r="D41" i="14" s="1"/>
  <c r="D42" i="14" s="1"/>
  <c r="D43" i="14" s="1"/>
  <c r="D44" i="14" s="1"/>
  <c r="D45" i="14" s="1"/>
  <c r="D46" i="14" s="1"/>
  <c r="D47" i="14" s="1"/>
  <c r="D48" i="14" s="1"/>
  <c r="D49" i="14" s="1"/>
  <c r="J16" i="33"/>
  <c r="J17" i="33" s="1"/>
  <c r="H15" i="26"/>
  <c r="H16" i="26" s="1"/>
  <c r="K13" i="33"/>
  <c r="H26" i="1"/>
  <c r="K14" i="33"/>
  <c r="H14" i="32"/>
  <c r="I13" i="32"/>
  <c r="I16" i="34"/>
  <c r="J15" i="34"/>
  <c r="B28" i="21"/>
  <c r="B27" i="21"/>
  <c r="I19" i="1"/>
  <c r="B27" i="34"/>
  <c r="H26" i="34"/>
  <c r="L14" i="36"/>
  <c r="M13" i="36"/>
  <c r="G36" i="35"/>
  <c r="F32" i="25"/>
  <c r="G32" i="25" s="1"/>
  <c r="B33" i="25"/>
  <c r="B34" i="25" s="1"/>
  <c r="G34" i="25" s="1"/>
  <c r="P15" i="21"/>
  <c r="O16" i="21"/>
  <c r="B28" i="22"/>
  <c r="I13" i="11"/>
  <c r="H14" i="11"/>
  <c r="K16" i="33"/>
  <c r="G25" i="11"/>
  <c r="B26" i="11"/>
  <c r="B32" i="33"/>
  <c r="B33" i="33" s="1"/>
  <c r="J15" i="13"/>
  <c r="I16" i="13"/>
  <c r="G16" i="25"/>
  <c r="M13" i="22"/>
  <c r="L25" i="22"/>
  <c r="L29" i="22" s="1"/>
  <c r="K27" i="36"/>
  <c r="B28" i="36"/>
  <c r="G22" i="25"/>
  <c r="G23" i="25" s="1"/>
  <c r="G24" i="25" s="1"/>
  <c r="G25" i="25" s="1"/>
  <c r="G26" i="25" s="1"/>
  <c r="G27" i="25" s="1"/>
  <c r="G28" i="25" s="1"/>
  <c r="G29" i="25" s="1"/>
  <c r="G30" i="25" s="1"/>
  <c r="G31" i="25" s="1"/>
  <c r="K14" i="12"/>
  <c r="J15" i="12"/>
  <c r="F32" i="26"/>
  <c r="F33" i="26" s="1"/>
  <c r="C34" i="26" s="1"/>
  <c r="H34" i="26" s="1"/>
  <c r="G25" i="26"/>
  <c r="N25" i="21"/>
  <c r="O28" i="21" s="1"/>
  <c r="O29" i="21" s="1"/>
  <c r="I14" i="32" l="1"/>
  <c r="H15" i="32"/>
  <c r="H25" i="26"/>
  <c r="H26" i="26" s="1"/>
  <c r="H27" i="26" s="1"/>
  <c r="H28" i="26" s="1"/>
  <c r="H29" i="26" s="1"/>
  <c r="H30" i="26" s="1"/>
  <c r="H31" i="26" s="1"/>
  <c r="L36" i="22"/>
  <c r="I32" i="22"/>
  <c r="J32" i="22" s="1"/>
  <c r="I20" i="1"/>
  <c r="B29" i="36"/>
  <c r="K34" i="36" s="1"/>
  <c r="K35" i="36" s="1"/>
  <c r="K28" i="36"/>
  <c r="N31" i="21"/>
  <c r="H15" i="11"/>
  <c r="I14" i="11"/>
  <c r="G32" i="26"/>
  <c r="H32" i="26" s="1"/>
  <c r="J16" i="34"/>
  <c r="I17" i="34"/>
  <c r="I17" i="13"/>
  <c r="J16" i="13"/>
  <c r="J18" i="33"/>
  <c r="K17" i="33"/>
  <c r="P16" i="21"/>
  <c r="O17" i="21"/>
  <c r="K15" i="12"/>
  <c r="J16" i="12"/>
  <c r="M14" i="22"/>
  <c r="N13" i="22"/>
  <c r="L15" i="36"/>
  <c r="M14" i="36"/>
  <c r="F35" i="21"/>
  <c r="K37" i="21"/>
  <c r="H16" i="32" l="1"/>
  <c r="I15" i="32"/>
  <c r="P17" i="21"/>
  <c r="O18" i="21"/>
  <c r="M15" i="22"/>
  <c r="N14" i="22"/>
  <c r="K18" i="33"/>
  <c r="J19" i="33"/>
  <c r="I18" i="13"/>
  <c r="J17" i="13"/>
  <c r="H16" i="11"/>
  <c r="I15" i="11"/>
  <c r="L16" i="36"/>
  <c r="M15" i="36"/>
  <c r="K16" i="12"/>
  <c r="J17" i="12"/>
  <c r="J17" i="34"/>
  <c r="I18" i="34"/>
  <c r="I21" i="1"/>
  <c r="H17" i="32" l="1"/>
  <c r="I16" i="32"/>
  <c r="I22" i="1"/>
  <c r="J18" i="13"/>
  <c r="I19" i="13"/>
  <c r="N15" i="22"/>
  <c r="M16" i="22"/>
  <c r="I19" i="34"/>
  <c r="J18" i="34"/>
  <c r="K17" i="12"/>
  <c r="J18" i="12"/>
  <c r="K19" i="33"/>
  <c r="J20" i="33"/>
  <c r="P18" i="21"/>
  <c r="O19" i="21"/>
  <c r="L17" i="36"/>
  <c r="M16" i="36"/>
  <c r="I16" i="11"/>
  <c r="H17" i="11"/>
  <c r="H18" i="32" l="1"/>
  <c r="I17" i="32"/>
  <c r="I17" i="11"/>
  <c r="H18" i="11"/>
  <c r="O20" i="21"/>
  <c r="P19" i="21"/>
  <c r="J21" i="33"/>
  <c r="K20" i="33"/>
  <c r="N16" i="22"/>
  <c r="M17" i="22"/>
  <c r="L18" i="36"/>
  <c r="M17" i="36"/>
  <c r="I20" i="34"/>
  <c r="J19" i="34"/>
  <c r="I23" i="1"/>
  <c r="K18" i="12"/>
  <c r="J19" i="12"/>
  <c r="J19" i="13"/>
  <c r="I20" i="13"/>
  <c r="I18" i="32" l="1"/>
  <c r="H19" i="32"/>
  <c r="I24" i="1"/>
  <c r="J20" i="34"/>
  <c r="I21" i="34"/>
  <c r="J22" i="33"/>
  <c r="K21" i="33"/>
  <c r="K19" i="12"/>
  <c r="J20" i="12"/>
  <c r="M18" i="22"/>
  <c r="N17" i="22"/>
  <c r="H19" i="11"/>
  <c r="I18" i="11"/>
  <c r="M18" i="36"/>
  <c r="L19" i="36"/>
  <c r="I21" i="13"/>
  <c r="J20" i="13"/>
  <c r="O21" i="21"/>
  <c r="P20" i="21"/>
  <c r="H20" i="32" l="1"/>
  <c r="I19" i="32"/>
  <c r="O22" i="21"/>
  <c r="P21" i="21"/>
  <c r="I22" i="13"/>
  <c r="J21" i="13"/>
  <c r="H20" i="11"/>
  <c r="I19" i="11"/>
  <c r="N18" i="22"/>
  <c r="M19" i="22"/>
  <c r="K22" i="33"/>
  <c r="J23" i="33"/>
  <c r="M19" i="36"/>
  <c r="L20" i="36"/>
  <c r="K20" i="12"/>
  <c r="J21" i="12"/>
  <c r="J21" i="34"/>
  <c r="I22" i="34"/>
  <c r="I20" i="32" l="1"/>
  <c r="H21" i="32"/>
  <c r="I20" i="11"/>
  <c r="H21" i="11"/>
  <c r="M20" i="36"/>
  <c r="L21" i="36"/>
  <c r="K23" i="33"/>
  <c r="J24" i="33"/>
  <c r="K24" i="33" s="1"/>
  <c r="I23" i="34"/>
  <c r="J22" i="34"/>
  <c r="K21" i="12"/>
  <c r="J22" i="12"/>
  <c r="N19" i="22"/>
  <c r="M20" i="22"/>
  <c r="J22" i="13"/>
  <c r="I23" i="13"/>
  <c r="O23" i="21"/>
  <c r="P22" i="21"/>
  <c r="I21" i="32" l="1"/>
  <c r="H22" i="32"/>
  <c r="O24" i="21"/>
  <c r="P24" i="21" s="1"/>
  <c r="P23" i="21"/>
  <c r="J23" i="13"/>
  <c r="I24" i="13"/>
  <c r="J24" i="13" s="1"/>
  <c r="M21" i="22"/>
  <c r="N20" i="22"/>
  <c r="L22" i="36"/>
  <c r="M21" i="36"/>
  <c r="I24" i="34"/>
  <c r="J24" i="34" s="1"/>
  <c r="J23" i="34"/>
  <c r="J23" i="12"/>
  <c r="K22" i="12"/>
  <c r="I21" i="11"/>
  <c r="H22" i="11"/>
  <c r="H23" i="32" l="1"/>
  <c r="I23" i="32" s="1"/>
  <c r="I22" i="32"/>
  <c r="J24" i="12"/>
  <c r="K24" i="12" s="1"/>
  <c r="K23" i="12"/>
  <c r="H23" i="11"/>
  <c r="I23" i="11" s="1"/>
  <c r="I22" i="11"/>
  <c r="L23" i="36"/>
  <c r="M22" i="36"/>
  <c r="M22" i="22"/>
  <c r="N21" i="22"/>
  <c r="M23" i="22" l="1"/>
  <c r="N22" i="22"/>
  <c r="L24" i="36"/>
  <c r="M23" i="36"/>
  <c r="M24" i="36" l="1"/>
  <c r="L25" i="36"/>
  <c r="N23" i="22"/>
  <c r="M24" i="22"/>
  <c r="N24" i="22" s="1"/>
  <c r="M25" i="36" l="1"/>
  <c r="L26" i="36"/>
  <c r="M26" i="3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8" authorId="0" shapeId="0" xr:uid="{00000000-0006-0000-0600-000001000000}">
      <text>
        <r>
          <rPr>
            <sz val="11"/>
            <color rgb="FF000000"/>
            <rFont val="Arial"/>
            <scheme val="minor"/>
          </rPr>
          <t>CRP ACPM
	-Deleted user</t>
        </r>
      </text>
    </comment>
    <comment ref="F28" authorId="0" shapeId="0" xr:uid="{00000000-0006-0000-0600-000002000000}">
      <text>
        <r>
          <rPr>
            <sz val="11"/>
            <color rgb="FF000000"/>
            <rFont val="Arial"/>
            <scheme val="minor"/>
          </rPr>
          <t>CRP GASOLINA
	-Deleted user</t>
        </r>
      </text>
    </comment>
  </commentList>
</comments>
</file>

<file path=xl/sharedStrings.xml><?xml version="1.0" encoding="utf-8"?>
<sst xmlns="http://schemas.openxmlformats.org/spreadsheetml/2006/main" count="762" uniqueCount="348">
  <si>
    <t>FECHA DE INICIO</t>
  </si>
  <si>
    <t>FECHA FINAL</t>
  </si>
  <si>
    <t xml:space="preserve">DURACION </t>
  </si>
  <si>
    <t>VALORES RP INICIALES 2022</t>
  </si>
  <si>
    <t>CDP</t>
  </si>
  <si>
    <t>VALORES RP</t>
  </si>
  <si>
    <t>VALOR CONTRATO INICIAL</t>
  </si>
  <si>
    <t>VALOR TOTAL CON ADICIÓN</t>
  </si>
  <si>
    <t>TOTAL</t>
  </si>
  <si>
    <t>TOTAL EJECUTADO</t>
  </si>
  <si>
    <t>% EJECUCIÓN</t>
  </si>
  <si>
    <t>TOTAL GIRADO</t>
  </si>
  <si>
    <t>DISPONIBLE</t>
  </si>
  <si>
    <t>DISPONIBLE TOTAL</t>
  </si>
  <si>
    <t>SAF</t>
  </si>
  <si>
    <t>total</t>
  </si>
  <si>
    <t>dif</t>
  </si>
  <si>
    <t>PAGO 10</t>
  </si>
  <si>
    <t>ADICION 1</t>
  </si>
  <si>
    <t>PRORROGA 2</t>
  </si>
  <si>
    <t>PRORROGA 3</t>
  </si>
  <si>
    <t>VALORES RP INICIALES</t>
  </si>
  <si>
    <t xml:space="preserve">PAGO 1 </t>
  </si>
  <si>
    <t>sec</t>
  </si>
  <si>
    <t>PAGO 3</t>
  </si>
  <si>
    <t>PAGO 4</t>
  </si>
  <si>
    <t>PAGO 5</t>
  </si>
  <si>
    <t>PAGO 6</t>
  </si>
  <si>
    <t>PAGO 7</t>
  </si>
  <si>
    <t>PAGO 8</t>
  </si>
  <si>
    <t>PAGO 9</t>
  </si>
  <si>
    <t>PAGO 11</t>
  </si>
  <si>
    <t>PAGO 12</t>
  </si>
  <si>
    <t>VALOR TOTAL DEL CONTRATO</t>
  </si>
  <si>
    <t>FEB</t>
  </si>
  <si>
    <t>MAR</t>
  </si>
  <si>
    <t>ABR</t>
  </si>
  <si>
    <t>MAY</t>
  </si>
  <si>
    <t>JUN</t>
  </si>
  <si>
    <t>JUL</t>
  </si>
  <si>
    <t>AGO</t>
  </si>
  <si>
    <t>SEP</t>
  </si>
  <si>
    <t>GRUPO LOS LAGOS S.A.S.</t>
  </si>
  <si>
    <t>RP´S PAPELERÍA</t>
  </si>
  <si>
    <t>VALOR RP ADICION 1</t>
  </si>
  <si>
    <t>ADICION No.1</t>
  </si>
  <si>
    <t>VALOR TORAL CON ADICION</t>
  </si>
  <si>
    <t xml:space="preserve">TOTAL </t>
  </si>
  <si>
    <t>PORCENTAJE</t>
  </si>
  <si>
    <t>CRP</t>
  </si>
  <si>
    <t>MANT SAF</t>
  </si>
  <si>
    <t>junio</t>
  </si>
  <si>
    <t>COMBUSTIBLE ORGANIZACIÓN TERPEL</t>
  </si>
  <si>
    <t>O.C 67878-2021</t>
  </si>
  <si>
    <t>PRÓRROGA 1</t>
  </si>
  <si>
    <t>1 MES  Y 21 DIAS</t>
  </si>
  <si>
    <t>1836-2021</t>
  </si>
  <si>
    <t>$ 9.000.000,00</t>
  </si>
  <si>
    <t>MANT SAF - ACPM</t>
  </si>
  <si>
    <t>MANT SAF - GASOLINA</t>
  </si>
  <si>
    <t>RADICADO ORFEO</t>
  </si>
  <si>
    <t>PAGO 01 MAYO- FAC AR9018780563 Y AR9018784339</t>
  </si>
  <si>
    <t>PAGO 02 JUNIO- FAC AR9018791029 Y AR9018798896</t>
  </si>
  <si>
    <t>PAGO 03 JULIO- FAC AR9018804068 Y AR9018811576</t>
  </si>
  <si>
    <t>PAGO 04 AGOSTO - FAC AR9018824045 Y AR9018816517</t>
  </si>
  <si>
    <t>PAGO 05 SEPTIEMBRE -FAC AR9018825766 -AR9018828917 Y AR9018838001</t>
  </si>
  <si>
    <t>PAGO 06 - OCTUBRE - FAC AR9018843411 -AR9018853961</t>
  </si>
  <si>
    <t>PAGO 07 - NOVIEMBRE - FAC AR9018859514 - AR9018868320 Y AR9018855191 - AR9018855192</t>
  </si>
  <si>
    <t>PAGO 08- DICIEMBRE - FAC AR9018842810 - AR9018875406 Y AR9018883907</t>
  </si>
  <si>
    <t>PAGO 09- ENERO 2022 - FAC AR9018893900 -AR9018887464</t>
  </si>
  <si>
    <t>PAGO 10 - FEBRERO 2022 - AR9018910363 y AR9018900433</t>
  </si>
  <si>
    <t>PAGO 11 - MARZO 2022 - AR9018913373 Y AR9018922984</t>
  </si>
  <si>
    <t>PAGO 12 - ABRIL 2022 -  AR9018937154 Y AR9018929527</t>
  </si>
  <si>
    <t>PAGO 13 - MAYO 2022 -  AR9018948680  Y AR9018943776</t>
  </si>
  <si>
    <t>PAGO 14 JUNIO - AR9018967245 - AR9018957818</t>
  </si>
  <si>
    <t>PAGO 15 JULIO - AR9018970848 - AR9018970849 YAR9018976474</t>
  </si>
  <si>
    <t>PAGO 16 - AGOSTO - AR9018986857 y AR9018991328</t>
  </si>
  <si>
    <t>CONTRATO 1787-2019</t>
  </si>
  <si>
    <t>PRORROGA 4</t>
  </si>
  <si>
    <t>PRORROGA 5</t>
  </si>
  <si>
    <t>SAF 1010</t>
  </si>
  <si>
    <t xml:space="preserve">SAF 0002
</t>
  </si>
  <si>
    <t>SEC 0996</t>
  </si>
  <si>
    <t>CREA 0982</t>
  </si>
  <si>
    <t>6021-2020</t>
  </si>
  <si>
    <t>.</t>
  </si>
  <si>
    <t>PAGO 1 - FRA.41414 Y 41428</t>
  </si>
  <si>
    <t>PAGO 2 - FRA. 41829</t>
  </si>
  <si>
    <t>PAGO 3 - FRA. 41984</t>
  </si>
  <si>
    <t>PAGO 4 - FRA. 416</t>
  </si>
  <si>
    <t>PAGO 5 - FRA. 1360</t>
  </si>
  <si>
    <t>PAGO 6 - FRA. 1456</t>
  </si>
  <si>
    <t>NUEVO CONTRATO 2022</t>
  </si>
  <si>
    <t>PAGO 7- FRA 1877 FEBRERO 2021</t>
  </si>
  <si>
    <t>PAGO 8 -FRA 2199 MARZO 2021</t>
  </si>
  <si>
    <t>fun</t>
  </si>
  <si>
    <t>PAGO 9-  FRA 2659 JUNIO 2021</t>
  </si>
  <si>
    <t>inver</t>
  </si>
  <si>
    <t>PAGO 10 -FRA 3039 AGOSTO 2021</t>
  </si>
  <si>
    <t>PAGO 11- FE -3277 SEPTIEMBRE 2021</t>
  </si>
  <si>
    <t>crea</t>
  </si>
  <si>
    <t>PAGO 12 -ULTIMO PAGO OK</t>
  </si>
  <si>
    <t>10 meses</t>
  </si>
  <si>
    <t>TOTAL 2019-2020</t>
  </si>
  <si>
    <t>reduccion</t>
  </si>
  <si>
    <t>DISTRIBUCION Y SERVICIOS DF SAS - (LOTES 1)</t>
  </si>
  <si>
    <t>CONTRATO 1616-2019</t>
  </si>
  <si>
    <t>PRÓRROGA #1</t>
  </si>
  <si>
    <t>ADICIÓN#1</t>
  </si>
  <si>
    <t>-</t>
  </si>
  <si>
    <t>RP´S FERRETERIA 2019</t>
  </si>
  <si>
    <t xml:space="preserve">CARPINTERIA Y CERRAJERIA
LOTE 1 </t>
  </si>
  <si>
    <t>TOTAL
FACTURA</t>
  </si>
  <si>
    <t>TOTAL
EJECUTADO</t>
  </si>
  <si>
    <t>%
EJECUTADO</t>
  </si>
  <si>
    <t>CREA</t>
  </si>
  <si>
    <t>SEC</t>
  </si>
  <si>
    <t>CINEMATECA</t>
  </si>
  <si>
    <t>SAF+GSF+NIDOS</t>
  </si>
  <si>
    <t>PLANETARIO</t>
  </si>
  <si>
    <t>3038-2019</t>
  </si>
  <si>
    <t>3041-2019</t>
  </si>
  <si>
    <t>3040-2019</t>
  </si>
  <si>
    <t>3043-2019</t>
  </si>
  <si>
    <t>3039-2019</t>
  </si>
  <si>
    <t>VALOR CONTRATO LOTE</t>
  </si>
  <si>
    <t>PAGO 1 - FACTURA 11</t>
  </si>
  <si>
    <t>PAGO 2 - FACTURA 16</t>
  </si>
  <si>
    <t>PAGO 3 - FACTURA 19</t>
  </si>
  <si>
    <t>PAGO 4 -</t>
  </si>
  <si>
    <t>PAGO 5 -</t>
  </si>
  <si>
    <t>PAGO 6 -</t>
  </si>
  <si>
    <t>PAGO 7 -</t>
  </si>
  <si>
    <t>DISTRIBUCION Y SERVICIOS DF SAS - (LOTES 2)</t>
  </si>
  <si>
    <t xml:space="preserve">FERRETERIA Y CONSTRUCCION
LOTE 2 </t>
  </si>
  <si>
    <t>TOTALES</t>
  </si>
  <si>
    <t>SEC 2</t>
  </si>
  <si>
    <t>SEC 1</t>
  </si>
  <si>
    <t>PRODUCCION</t>
  </si>
  <si>
    <t>3042-2019</t>
  </si>
  <si>
    <t>3044-2019</t>
  </si>
  <si>
    <t>PAGO 1 -  FACTURA 12</t>
  </si>
  <si>
    <t>PAGO 2 -  FACTURA 17</t>
  </si>
  <si>
    <t>PAGO 3 - FACTURA 20</t>
  </si>
  <si>
    <t>VALOR INICIAL POR AREA</t>
  </si>
  <si>
    <t>VALOR INICIAL TOTAL</t>
  </si>
  <si>
    <t>EJECUTADO AL 22/01/2020</t>
  </si>
  <si>
    <t>VALOR A ADICIONAR</t>
  </si>
  <si>
    <t>VALOR A ADICIONAR TOTAL</t>
  </si>
  <si>
    <t>DISTRIBUCION Y SERVICIOS DF SAS - (LOTES 3)</t>
  </si>
  <si>
    <t>FERRELECTRICOS, SONIDO Y HERRAMIENTAS
LOTE 3</t>
  </si>
  <si>
    <t>PAGO 1 - FACTURAS 13 Y 22</t>
  </si>
  <si>
    <t>PAGO 2 - FACTURA 18</t>
  </si>
  <si>
    <t>PAGO 3 - FACTURA 21</t>
  </si>
  <si>
    <t>4MESES</t>
  </si>
  <si>
    <t>ADICIÓN 1</t>
  </si>
  <si>
    <t>RP´S</t>
  </si>
  <si>
    <t>RP´S ADICION 1</t>
  </si>
  <si>
    <t>ADICION 1  - CRP XXXX</t>
  </si>
  <si>
    <t xml:space="preserve">ADICION 2 </t>
  </si>
  <si>
    <t>VALOR TOTAL POR RUBRO</t>
  </si>
  <si>
    <t>VALOR TOTAL CON ADICION</t>
  </si>
  <si>
    <t>20214600072294</t>
  </si>
  <si>
    <t>20214600113514</t>
  </si>
  <si>
    <t>PAGO 02  JUNIO- FAC AR9018791029 Y AR9018798896</t>
  </si>
  <si>
    <t>20214600116034</t>
  </si>
  <si>
    <t>20214600134364</t>
  </si>
  <si>
    <t>20214600159754</t>
  </si>
  <si>
    <t>20214600170594</t>
  </si>
  <si>
    <t>20214600193194</t>
  </si>
  <si>
    <t>20224600011814</t>
  </si>
  <si>
    <t xml:space="preserve">20224600005224  	</t>
  </si>
  <si>
    <t>20224600033754</t>
  </si>
  <si>
    <t>PROGRAMACION DE PAC ABRIL MAY O JUNIO</t>
  </si>
  <si>
    <t>20224600059884</t>
  </si>
  <si>
    <t>mayo</t>
  </si>
  <si>
    <t>*</t>
  </si>
  <si>
    <t>PRÓRROGA #2</t>
  </si>
  <si>
    <t>PRÓRROGA #3</t>
  </si>
  <si>
    <t>ADICIÓN 2020</t>
  </si>
  <si>
    <t>LADOINSA LABORES DOTACIONES INDUSTRIALES S.A.S</t>
  </si>
  <si>
    <t>CONTRATO OC 66869-2021</t>
  </si>
  <si>
    <t>RP´S ASEO</t>
  </si>
  <si>
    <t>SAF -FUN</t>
  </si>
  <si>
    <t>SAF- INV</t>
  </si>
  <si>
    <t>1680 -2021</t>
  </si>
  <si>
    <t>1681 -2021</t>
  </si>
  <si>
    <t>1682- 2021</t>
  </si>
  <si>
    <t>20214600077254</t>
  </si>
  <si>
    <t>PAGO 1 - ABRIL  2021 ( 18 DIAS)</t>
  </si>
  <si>
    <t>20214600081794</t>
  </si>
  <si>
    <t>PAGO 2- MAYO 2021</t>
  </si>
  <si>
    <t>20214600099174</t>
  </si>
  <si>
    <t>PAGO 3- JUNIO 2021</t>
  </si>
  <si>
    <t>PAGO 4 - JULIO 2021</t>
  </si>
  <si>
    <t>PAGO 5- AGOSTO 2021</t>
  </si>
  <si>
    <t>PAGO 6- SEPTIEMBRE 2021</t>
  </si>
  <si>
    <t>PAGO 7 - OCTUBRE 2021</t>
  </si>
  <si>
    <t>PAGO 8 - NOVIEMBRE 2021</t>
  </si>
  <si>
    <t>RP´S VIGILANCIA</t>
  </si>
  <si>
    <t xml:space="preserve">PAGO 2 </t>
  </si>
  <si>
    <t>VIGILANCIA - UNIÓN TEMPORAL SUPERIOR-AGUILA 2019</t>
  </si>
  <si>
    <t>CONTRATO 1304-2019</t>
  </si>
  <si>
    <t>$2.614.975.137</t>
  </si>
  <si>
    <t>05 MESES</t>
  </si>
  <si>
    <t>CREA - 982</t>
  </si>
  <si>
    <t>SAF - 1010</t>
  </si>
  <si>
    <t>SEC - 999</t>
  </si>
  <si>
    <t>PROD- 1017</t>
  </si>
  <si>
    <t>NIDOS - 993</t>
  </si>
  <si>
    <t>A. PLAST - 1017</t>
  </si>
  <si>
    <t>SAF - FUNCIO</t>
  </si>
  <si>
    <t>1918-2019</t>
  </si>
  <si>
    <t>1923-2019</t>
  </si>
  <si>
    <t>1919-2019</t>
  </si>
  <si>
    <t>1922-2019</t>
  </si>
  <si>
    <t>1920-2019</t>
  </si>
  <si>
    <t>1921-2019</t>
  </si>
  <si>
    <t>PAGO 1 - MAYO 2019 (7 DÍAS)</t>
  </si>
  <si>
    <t>PAGO 2 - JUNIO 2019</t>
  </si>
  <si>
    <t>PAGO 3 - JULIO 2019</t>
  </si>
  <si>
    <t>PAGO 4 - AGOSTO 2019</t>
  </si>
  <si>
    <t>PAGO 5 - SEPTIEMBRE 2019</t>
  </si>
  <si>
    <t>PAGO 6 - OCTUBRE 2019</t>
  </si>
  <si>
    <t>PAGO 7 - NOVIEMBRE 2019</t>
  </si>
  <si>
    <t>PAGO 8 - DICIEMBRE 2019</t>
  </si>
  <si>
    <t>PAGO 9 - ENERO 2020</t>
  </si>
  <si>
    <t>PAGO 10 - FEBRERO 2020</t>
  </si>
  <si>
    <t>PAGO 11- MARZO 2020</t>
  </si>
  <si>
    <t>PAGO 12 -ABRIL 2020</t>
  </si>
  <si>
    <t>PAGO 13 -MAYO 2020</t>
  </si>
  <si>
    <t>PAGO 14 -JUNIO 2020</t>
  </si>
  <si>
    <t>PAGO 15 - JULIO/23/2020</t>
  </si>
  <si>
    <t>ENE</t>
  </si>
  <si>
    <t>DISTRIBUCION Y SERVICIOS DF SAS - (LOTES 1-2-3)</t>
  </si>
  <si>
    <t>PRÓRROGA Y ADICION #1</t>
  </si>
  <si>
    <t>PRORROGA # 2</t>
  </si>
  <si>
    <t>VALORES RP ADICIONES</t>
  </si>
  <si>
    <t>1051-2020</t>
  </si>
  <si>
    <t>1049-2020</t>
  </si>
  <si>
    <t>1047-2020</t>
  </si>
  <si>
    <t>1048-2020</t>
  </si>
  <si>
    <t>1050-2020</t>
  </si>
  <si>
    <t>VALOR CONTRATO</t>
  </si>
  <si>
    <t>PAGO 1 -  FACTURAS 11-12-13</t>
  </si>
  <si>
    <t>PAGO 2 -  FACTURAS 16-17-18</t>
  </si>
  <si>
    <t>PAGO 3 - FACTURAS 19-20-21</t>
  </si>
  <si>
    <t>PAGO 4 - FACTURAS 33-34-35</t>
  </si>
  <si>
    <t>PAGO 5 - FACTURAS 37-38-39</t>
  </si>
  <si>
    <t>PAGO 6 - FACTURAS 43-44-45</t>
  </si>
  <si>
    <t>PAGO 7 - FACTURAS 46-47-48</t>
  </si>
  <si>
    <t>PAGO 8  - FACTURA B5</t>
  </si>
  <si>
    <t>PAGO 9 FACTURA B4 -B8 - B9 - B10 - B11</t>
  </si>
  <si>
    <t xml:space="preserve">PAGO 10 FACTURAS B13,B14,B15 </t>
  </si>
  <si>
    <r>
      <rPr>
        <sz val="10"/>
        <color rgb="FF000000"/>
        <rFont val="Arial"/>
        <family val="2"/>
      </rPr>
      <t>PAGO 11 FACTURAS</t>
    </r>
    <r>
      <rPr>
        <sz val="10"/>
        <color rgb="FFFF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B17, B20, B21 </t>
    </r>
  </si>
  <si>
    <t>PAGO 12 FACTURAS B23, B24, B25</t>
  </si>
  <si>
    <t>DISPONIBLE POR RP</t>
  </si>
  <si>
    <t>DISPONIBLE POR PROYECTO</t>
  </si>
  <si>
    <t>secop aparece</t>
  </si>
  <si>
    <t>real</t>
  </si>
  <si>
    <t>DF S.A.S. saldo a pedido 61 $3.891.277</t>
  </si>
  <si>
    <t>BRAND CENTER SAS - (LOTES 4)</t>
  </si>
  <si>
    <t>CONTRATO 1617-2019</t>
  </si>
  <si>
    <t xml:space="preserve">PRÓRROGA #1 + ADICION </t>
  </si>
  <si>
    <t>DRYWALL Y ACABADOS
LOTE 4</t>
  </si>
  <si>
    <t>VALORES RP ADICION</t>
  </si>
  <si>
    <t>3098-2019</t>
  </si>
  <si>
    <t>3099-2019</t>
  </si>
  <si>
    <t>3100-2019</t>
  </si>
  <si>
    <t>3101-2019</t>
  </si>
  <si>
    <t>3102-2019</t>
  </si>
  <si>
    <t>901-2020</t>
  </si>
  <si>
    <t>903-2020</t>
  </si>
  <si>
    <t>905-2020</t>
  </si>
  <si>
    <t>902-2020</t>
  </si>
  <si>
    <t>904-2020</t>
  </si>
  <si>
    <t>PAGO 1 - FACTURA 38812</t>
  </si>
  <si>
    <t>PAGO 2 - FACTURA 39545</t>
  </si>
  <si>
    <t>NO</t>
  </si>
  <si>
    <t>PAGO 3 - FACTURA 40738</t>
  </si>
  <si>
    <t>PAGO 4 - FACTURA FE 786</t>
  </si>
  <si>
    <t>PAGO 5 - FACTURA FE 1876</t>
  </si>
  <si>
    <t>PAGO 6 - FACTURA 2305 - 2416</t>
  </si>
  <si>
    <t>PAGO 7 - FACTURA 2902</t>
  </si>
  <si>
    <t>PAGO 8  FACTURA 3913</t>
  </si>
  <si>
    <t>PAGO 9  FACTURA  5193</t>
  </si>
  <si>
    <t>PAGO 10 FACTURA  5773</t>
  </si>
  <si>
    <t>PAGO 4 - PEND DE COBRO</t>
  </si>
  <si>
    <t>BRAND CENTER saldo a pedido 61 $25.399.250</t>
  </si>
  <si>
    <t>factura 6</t>
  </si>
  <si>
    <t>reserva pend 2019</t>
  </si>
  <si>
    <t>pedido 52 y 53 sin fact</t>
  </si>
  <si>
    <t>pend x fact pedido 52 y 53</t>
  </si>
  <si>
    <t>pend x facturar ric</t>
  </si>
  <si>
    <t>pend x fact pedido 54</t>
  </si>
  <si>
    <t>pend x facturar antes de ric</t>
  </si>
  <si>
    <t>ASEOS COLOMBIANOS ASEOCOLBA S.A.</t>
  </si>
  <si>
    <t>CONTRATO OC 47905-2020</t>
  </si>
  <si>
    <t>1911-2020</t>
  </si>
  <si>
    <t>1912-2020</t>
  </si>
  <si>
    <t>1913-2020</t>
  </si>
  <si>
    <t>7286-2020</t>
  </si>
  <si>
    <t>PAGO 1 - MAYO 2020</t>
  </si>
  <si>
    <t>PAGO 2 - MAYO MAQUINARIA</t>
  </si>
  <si>
    <t>PAGO 3 - JUNIO 2020</t>
  </si>
  <si>
    <t>PAGO 4 - JULIO 2020</t>
  </si>
  <si>
    <t>PAGO 5 - AGOSTO 2020</t>
  </si>
  <si>
    <t>PAGO 6 - SEPTIEMBRE 2020</t>
  </si>
  <si>
    <t>PAGO 7 - OCTUBRE 2020</t>
  </si>
  <si>
    <t>PAGO 8 - NOVIEMBRE 2020</t>
  </si>
  <si>
    <t>PAGO 9 - DICIEMBRE 2020</t>
  </si>
  <si>
    <t>PAGO 10 - ENERO 2021</t>
  </si>
  <si>
    <t>PAGO 11 - FEBRERO 2021</t>
  </si>
  <si>
    <t>PAGO 12 - MARZO 2021</t>
  </si>
  <si>
    <t>PAGO 13- ABRIL 2021</t>
  </si>
  <si>
    <t>PAGO 9 - DICIEMBRE 2021</t>
  </si>
  <si>
    <t>PAGO 10 - ENERO 2022</t>
  </si>
  <si>
    <t>PAGO 11 - FEBRERO 6 2022</t>
  </si>
  <si>
    <t>PAGO 12 - MARZO 15 -2022</t>
  </si>
  <si>
    <t>sep 2021</t>
  </si>
  <si>
    <t>fontanar y amarilo</t>
  </si>
  <si>
    <t>pilona 20</t>
  </si>
  <si>
    <t xml:space="preserve">ensueño y pilona 10 </t>
  </si>
  <si>
    <t xml:space="preserve">NOMBRE DEL PROVEEDOR O CONTRATISTA </t>
  </si>
  <si>
    <t>CDP 1</t>
  </si>
  <si>
    <t>CDP 2</t>
  </si>
  <si>
    <t>CDP 3</t>
  </si>
  <si>
    <t>CRP 1</t>
  </si>
  <si>
    <t>CRP 2</t>
  </si>
  <si>
    <t>CRP 3</t>
  </si>
  <si>
    <t>VALORES CRP</t>
  </si>
  <si>
    <t>CDP ADICION 1</t>
  </si>
  <si>
    <t>CDP ADICION 2</t>
  </si>
  <si>
    <t>CDP ADICION 3</t>
  </si>
  <si>
    <t>CRP ADICION 1</t>
  </si>
  <si>
    <t>CRP ADICION 2</t>
  </si>
  <si>
    <t>CRP ADICION 3</t>
  </si>
  <si>
    <t>ADICION / PRORROGA</t>
  </si>
  <si>
    <t>VALOR ADICION</t>
  </si>
  <si>
    <t>VALOR CONTRATO INICIAL MAS ADICION</t>
  </si>
  <si>
    <t xml:space="preserve">VALOR CONTRATO INICIAL </t>
  </si>
  <si>
    <t>NUMERO DE CONTRATO / AÑO</t>
  </si>
  <si>
    <t>TOTAL POR PAGO</t>
  </si>
  <si>
    <t>GESTIÓN DE BIENES, SERVICIOS Y PLANTA FÍSICA</t>
  </si>
  <si>
    <t>FORMATO 
CONTROL PRESUPUESTAL
SERVICIOS GENERALES</t>
  </si>
  <si>
    <t>Versión: 1</t>
  </si>
  <si>
    <t>Fecha: 16/11/2023</t>
  </si>
  <si>
    <t>Código: GBS-F-28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</si>
</sst>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yy"/>
    <numFmt numFmtId="165" formatCode="#,##0.0000;[Red]\-#,##0.0000"/>
    <numFmt numFmtId="166" formatCode="d\ mmmm"/>
    <numFmt numFmtId="167" formatCode="m\-yyyy"/>
    <numFmt numFmtId="168" formatCode="0.000"/>
    <numFmt numFmtId="169" formatCode="mmm\ yyyy"/>
    <numFmt numFmtId="170" formatCode="_-&quot;$&quot;\ * #,##0.00_-;\-&quot;$&quot;\ * #,##0.00_-;_-&quot;$&quot;\ * &quot;-&quot;??_-;_-@"/>
  </numFmts>
  <fonts count="27">
    <font>
      <sz val="11"/>
      <color rgb="FF000000"/>
      <name val="Arial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  <scheme val="minor"/>
    </font>
    <font>
      <sz val="10"/>
      <color rgb="FF000000"/>
      <name val="Arial"/>
      <family val="2"/>
    </font>
    <font>
      <b/>
      <sz val="11"/>
      <color theme="1"/>
      <name val="&quot;Arial Narrow&quot;"/>
    </font>
    <font>
      <sz val="11"/>
      <color theme="1"/>
      <name val="Arial"/>
      <family val="2"/>
      <scheme val="minor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  <scheme val="minor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7"/>
      <color rgb="FF000000"/>
      <name val="Arial"/>
      <family val="2"/>
    </font>
    <font>
      <sz val="14"/>
      <color rgb="FF222222"/>
      <name val="Arial"/>
      <family val="2"/>
    </font>
    <font>
      <sz val="12"/>
      <color rgb="FF00000A"/>
      <name val="Arial"/>
      <family val="2"/>
    </font>
    <font>
      <b/>
      <sz val="14"/>
      <color rgb="FF000000"/>
      <name val="Arial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00FF00"/>
        <bgColor rgb="FF00FF00"/>
      </patternFill>
    </fill>
    <fill>
      <patternFill patternType="solid">
        <fgColor rgb="FFBDBDBD"/>
        <bgColor rgb="FFBDBDBD"/>
      </patternFill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B7B7B7"/>
        <bgColor rgb="FFB7B7B7"/>
      </patternFill>
    </fill>
    <fill>
      <patternFill patternType="solid">
        <fgColor rgb="FFA2C4C9"/>
        <bgColor rgb="FFA2C4C9"/>
      </patternFill>
    </fill>
    <fill>
      <patternFill patternType="solid">
        <fgColor rgb="FF92D050"/>
        <bgColor rgb="FF92D050"/>
      </patternFill>
    </fill>
    <fill>
      <patternFill patternType="solid">
        <fgColor rgb="FF00FFFF"/>
        <bgColor rgb="FF00FFFF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10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0">
    <xf numFmtId="0" fontId="0" fillId="0" borderId="0" xfId="0"/>
    <xf numFmtId="40" fontId="1" fillId="0" borderId="0" xfId="0" applyNumberFormat="1" applyFont="1"/>
    <xf numFmtId="40" fontId="2" fillId="3" borderId="4" xfId="0" applyNumberFormat="1" applyFont="1" applyFill="1" applyBorder="1" applyAlignment="1">
      <alignment horizontal="center" vertical="center"/>
    </xf>
    <xf numFmtId="40" fontId="2" fillId="3" borderId="1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0" fontId="2" fillId="4" borderId="4" xfId="0" applyFont="1" applyFill="1" applyBorder="1" applyAlignment="1">
      <alignment horizontal="center" vertical="center"/>
    </xf>
    <xf numFmtId="40" fontId="2" fillId="4" borderId="4" xfId="0" applyNumberFormat="1" applyFont="1" applyFill="1" applyBorder="1" applyAlignment="1">
      <alignment horizontal="center" vertical="center"/>
    </xf>
    <xf numFmtId="38" fontId="1" fillId="4" borderId="4" xfId="0" applyNumberFormat="1" applyFont="1" applyFill="1" applyBorder="1"/>
    <xf numFmtId="40" fontId="2" fillId="5" borderId="4" xfId="0" applyNumberFormat="1" applyFont="1" applyFill="1" applyBorder="1"/>
    <xf numFmtId="38" fontId="1" fillId="0" borderId="0" xfId="0" applyNumberFormat="1" applyFont="1"/>
    <xf numFmtId="40" fontId="1" fillId="0" borderId="4" xfId="0" applyNumberFormat="1" applyFont="1" applyBorder="1"/>
    <xf numFmtId="38" fontId="1" fillId="0" borderId="4" xfId="0" applyNumberFormat="1" applyFont="1" applyBorder="1"/>
    <xf numFmtId="10" fontId="1" fillId="0" borderId="4" xfId="0" applyNumberFormat="1" applyFont="1" applyBorder="1"/>
    <xf numFmtId="0" fontId="7" fillId="0" borderId="0" xfId="0" applyFont="1"/>
    <xf numFmtId="40" fontId="9" fillId="0" borderId="0" xfId="0" applyNumberFormat="1" applyFont="1"/>
    <xf numFmtId="40" fontId="2" fillId="0" borderId="4" xfId="0" applyNumberFormat="1" applyFont="1" applyBorder="1"/>
    <xf numFmtId="40" fontId="10" fillId="0" borderId="0" xfId="0" applyNumberFormat="1" applyFont="1"/>
    <xf numFmtId="38" fontId="10" fillId="0" borderId="0" xfId="0" applyNumberFormat="1" applyFont="1"/>
    <xf numFmtId="0" fontId="10" fillId="0" borderId="0" xfId="0" applyFont="1"/>
    <xf numFmtId="38" fontId="1" fillId="0" borderId="5" xfId="0" applyNumberFormat="1" applyFont="1" applyBorder="1"/>
    <xf numFmtId="40" fontId="1" fillId="0" borderId="0" xfId="0" applyNumberFormat="1" applyFont="1" applyAlignment="1">
      <alignment horizontal="right"/>
    </xf>
    <xf numFmtId="40" fontId="1" fillId="0" borderId="0" xfId="0" applyNumberFormat="1" applyFont="1" applyAlignment="1">
      <alignment horizontal="center"/>
    </xf>
    <xf numFmtId="40" fontId="5" fillId="0" borderId="4" xfId="0" applyNumberFormat="1" applyFont="1" applyBorder="1"/>
    <xf numFmtId="40" fontId="11" fillId="3" borderId="4" xfId="0" applyNumberFormat="1" applyFont="1" applyFill="1" applyBorder="1" applyAlignment="1">
      <alignment horizontal="center" vertical="center"/>
    </xf>
    <xf numFmtId="40" fontId="6" fillId="0" borderId="4" xfId="0" applyNumberFormat="1" applyFont="1" applyBorder="1"/>
    <xf numFmtId="38" fontId="2" fillId="0" borderId="4" xfId="0" applyNumberFormat="1" applyFont="1" applyBorder="1"/>
    <xf numFmtId="38" fontId="2" fillId="4" borderId="4" xfId="0" applyNumberFormat="1" applyFont="1" applyFill="1" applyBorder="1"/>
    <xf numFmtId="40" fontId="1" fillId="4" borderId="4" xfId="0" applyNumberFormat="1" applyFont="1" applyFill="1" applyBorder="1"/>
    <xf numFmtId="40" fontId="1" fillId="4" borderId="0" xfId="0" applyNumberFormat="1" applyFont="1" applyFill="1"/>
    <xf numFmtId="0" fontId="10" fillId="0" borderId="0" xfId="0" applyFont="1" applyAlignment="1">
      <alignment horizontal="center" vertical="center"/>
    </xf>
    <xf numFmtId="40" fontId="2" fillId="5" borderId="4" xfId="0" applyNumberFormat="1" applyFont="1" applyFill="1" applyBorder="1" applyAlignment="1">
      <alignment horizontal="center" vertical="center"/>
    </xf>
    <xf numFmtId="38" fontId="6" fillId="0" borderId="4" xfId="0" applyNumberFormat="1" applyFont="1" applyBorder="1"/>
    <xf numFmtId="40" fontId="14" fillId="0" borderId="0" xfId="0" applyNumberFormat="1" applyFont="1"/>
    <xf numFmtId="40" fontId="2" fillId="0" borderId="4" xfId="0" applyNumberFormat="1" applyFont="1" applyBorder="1" applyAlignment="1">
      <alignment horizontal="center"/>
    </xf>
    <xf numFmtId="0" fontId="6" fillId="0" borderId="0" xfId="0" applyFont="1"/>
    <xf numFmtId="40" fontId="2" fillId="2" borderId="4" xfId="0" applyNumberFormat="1" applyFont="1" applyFill="1" applyBorder="1" applyAlignment="1">
      <alignment horizontal="center" vertical="center"/>
    </xf>
    <xf numFmtId="40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left"/>
    </xf>
    <xf numFmtId="40" fontId="2" fillId="3" borderId="4" xfId="0" applyNumberFormat="1" applyFont="1" applyFill="1" applyBorder="1"/>
    <xf numFmtId="1" fontId="2" fillId="3" borderId="4" xfId="0" applyNumberFormat="1" applyFont="1" applyFill="1" applyBorder="1" applyAlignment="1">
      <alignment horizontal="center" vertical="center"/>
    </xf>
    <xf numFmtId="40" fontId="2" fillId="6" borderId="4" xfId="0" applyNumberFormat="1" applyFont="1" applyFill="1" applyBorder="1" applyAlignment="1">
      <alignment horizontal="center"/>
    </xf>
    <xf numFmtId="49" fontId="1" fillId="0" borderId="4" xfId="0" applyNumberFormat="1" applyFont="1" applyBorder="1"/>
    <xf numFmtId="38" fontId="1" fillId="10" borderId="4" xfId="0" applyNumberFormat="1" applyFont="1" applyFill="1" applyBorder="1"/>
    <xf numFmtId="165" fontId="1" fillId="0" borderId="4" xfId="0" applyNumberFormat="1" applyFont="1" applyBorder="1"/>
    <xf numFmtId="40" fontId="2" fillId="0" borderId="0" xfId="0" applyNumberFormat="1" applyFont="1"/>
    <xf numFmtId="3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10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/>
    </xf>
    <xf numFmtId="3" fontId="2" fillId="16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0" fontId="1" fillId="17" borderId="0" xfId="0" applyNumberFormat="1" applyFont="1" applyFill="1"/>
    <xf numFmtId="40" fontId="2" fillId="8" borderId="4" xfId="0" applyNumberFormat="1" applyFont="1" applyFill="1" applyBorder="1"/>
    <xf numFmtId="40" fontId="1" fillId="8" borderId="4" xfId="0" applyNumberFormat="1" applyFont="1" applyFill="1" applyBorder="1" applyAlignment="1">
      <alignment horizontal="right" vertical="center"/>
    </xf>
    <xf numFmtId="40" fontId="2" fillId="8" borderId="4" xfId="0" applyNumberFormat="1" applyFont="1" applyFill="1" applyBorder="1" applyAlignment="1">
      <alignment horizontal="center" vertical="center"/>
    </xf>
    <xf numFmtId="40" fontId="6" fillId="8" borderId="4" xfId="0" applyNumberFormat="1" applyFont="1" applyFill="1" applyBorder="1"/>
    <xf numFmtId="40" fontId="1" fillId="10" borderId="4" xfId="0" applyNumberFormat="1" applyFont="1" applyFill="1" applyBorder="1"/>
    <xf numFmtId="40" fontId="6" fillId="10" borderId="4" xfId="0" applyNumberFormat="1" applyFont="1" applyFill="1" applyBorder="1"/>
    <xf numFmtId="40" fontId="21" fillId="5" borderId="4" xfId="0" applyNumberFormat="1" applyFont="1" applyFill="1" applyBorder="1"/>
    <xf numFmtId="40" fontId="1" fillId="5" borderId="4" xfId="0" applyNumberFormat="1" applyFont="1" applyFill="1" applyBorder="1"/>
    <xf numFmtId="40" fontId="2" fillId="9" borderId="4" xfId="0" applyNumberFormat="1" applyFont="1" applyFill="1" applyBorder="1" applyAlignment="1">
      <alignment horizontal="center" vertical="center"/>
    </xf>
    <xf numFmtId="40" fontId="17" fillId="9" borderId="4" xfId="0" applyNumberFormat="1" applyFont="1" applyFill="1" applyBorder="1" applyAlignment="1">
      <alignment horizontal="center"/>
    </xf>
    <xf numFmtId="40" fontId="17" fillId="9" borderId="4" xfId="0" applyNumberFormat="1" applyFont="1" applyFill="1" applyBorder="1"/>
    <xf numFmtId="40" fontId="14" fillId="9" borderId="4" xfId="0" applyNumberFormat="1" applyFont="1" applyFill="1" applyBorder="1"/>
    <xf numFmtId="165" fontId="1" fillId="5" borderId="4" xfId="0" applyNumberFormat="1" applyFont="1" applyFill="1" applyBorder="1"/>
    <xf numFmtId="40" fontId="17" fillId="5" borderId="4" xfId="0" applyNumberFormat="1" applyFont="1" applyFill="1" applyBorder="1"/>
    <xf numFmtId="40" fontId="2" fillId="15" borderId="4" xfId="0" applyNumberFormat="1" applyFont="1" applyFill="1" applyBorder="1" applyAlignment="1">
      <alignment horizontal="center" vertical="center"/>
    </xf>
    <xf numFmtId="40" fontId="17" fillId="15" borderId="4" xfId="0" applyNumberFormat="1" applyFont="1" applyFill="1" applyBorder="1" applyAlignment="1">
      <alignment horizontal="center"/>
    </xf>
    <xf numFmtId="40" fontId="17" fillId="15" borderId="4" xfId="0" applyNumberFormat="1" applyFont="1" applyFill="1" applyBorder="1"/>
    <xf numFmtId="40" fontId="14" fillId="15" borderId="4" xfId="0" applyNumberFormat="1" applyFont="1" applyFill="1" applyBorder="1"/>
    <xf numFmtId="40" fontId="10" fillId="5" borderId="0" xfId="0" applyNumberFormat="1" applyFont="1" applyFill="1"/>
    <xf numFmtId="40" fontId="2" fillId="13" borderId="4" xfId="0" applyNumberFormat="1" applyFont="1" applyFill="1" applyBorder="1" applyAlignment="1">
      <alignment horizontal="center" vertical="center"/>
    </xf>
    <xf numFmtId="40" fontId="17" fillId="13" borderId="4" xfId="0" applyNumberFormat="1" applyFont="1" applyFill="1" applyBorder="1" applyAlignment="1">
      <alignment horizontal="center"/>
    </xf>
    <xf numFmtId="40" fontId="17" fillId="13" borderId="4" xfId="0" applyNumberFormat="1" applyFont="1" applyFill="1" applyBorder="1"/>
    <xf numFmtId="40" fontId="14" fillId="13" borderId="4" xfId="0" applyNumberFormat="1" applyFont="1" applyFill="1" applyBorder="1"/>
    <xf numFmtId="40" fontId="2" fillId="10" borderId="4" xfId="0" applyNumberFormat="1" applyFont="1" applyFill="1" applyBorder="1" applyAlignment="1">
      <alignment horizontal="center" vertical="center"/>
    </xf>
    <xf numFmtId="164" fontId="2" fillId="10" borderId="4" xfId="0" applyNumberFormat="1" applyFont="1" applyFill="1" applyBorder="1" applyAlignment="1">
      <alignment horizontal="center" vertical="center"/>
    </xf>
    <xf numFmtId="40" fontId="2" fillId="10" borderId="4" xfId="0" applyNumberFormat="1" applyFont="1" applyFill="1" applyBorder="1"/>
    <xf numFmtId="40" fontId="1" fillId="2" borderId="4" xfId="0" applyNumberFormat="1" applyFont="1" applyFill="1" applyBorder="1"/>
    <xf numFmtId="40" fontId="17" fillId="0" borderId="4" xfId="0" applyNumberFormat="1" applyFont="1" applyBorder="1"/>
    <xf numFmtId="40" fontId="2" fillId="5" borderId="4" xfId="0" applyNumberFormat="1" applyFont="1" applyFill="1" applyBorder="1" applyAlignment="1">
      <alignment horizontal="right" vertical="center"/>
    </xf>
    <xf numFmtId="165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10" fontId="1" fillId="0" borderId="4" xfId="0" applyNumberFormat="1" applyFont="1" applyBorder="1" applyAlignment="1">
      <alignment horizontal="center"/>
    </xf>
    <xf numFmtId="40" fontId="2" fillId="4" borderId="0" xfId="0" applyNumberFormat="1" applyFont="1" applyFill="1"/>
    <xf numFmtId="40" fontId="2" fillId="4" borderId="4" xfId="0" applyNumberFormat="1" applyFont="1" applyFill="1" applyBorder="1"/>
    <xf numFmtId="40" fontId="2" fillId="7" borderId="0" xfId="0" applyNumberFormat="1" applyFont="1" applyFill="1"/>
    <xf numFmtId="40" fontId="2" fillId="7" borderId="4" xfId="0" applyNumberFormat="1" applyFont="1" applyFill="1" applyBorder="1"/>
    <xf numFmtId="38" fontId="2" fillId="7" borderId="4" xfId="0" applyNumberFormat="1" applyFont="1" applyFill="1" applyBorder="1"/>
    <xf numFmtId="38" fontId="2" fillId="4" borderId="4" xfId="0" applyNumberFormat="1" applyFont="1" applyFill="1" applyBorder="1" applyAlignment="1">
      <alignment horizontal="center" vertical="center"/>
    </xf>
    <xf numFmtId="40" fontId="2" fillId="0" borderId="4" xfId="0" applyNumberFormat="1" applyFont="1" applyBorder="1" applyAlignment="1">
      <alignment horizontal="center" vertical="center"/>
    </xf>
    <xf numFmtId="38" fontId="22" fillId="0" borderId="4" xfId="0" applyNumberFormat="1" applyFont="1" applyBorder="1"/>
    <xf numFmtId="38" fontId="6" fillId="10" borderId="4" xfId="0" applyNumberFormat="1" applyFont="1" applyFill="1" applyBorder="1"/>
    <xf numFmtId="0" fontId="19" fillId="0" borderId="0" xfId="0" applyFont="1" applyAlignment="1">
      <alignment vertical="center"/>
    </xf>
    <xf numFmtId="40" fontId="4" fillId="3" borderId="4" xfId="0" applyNumberFormat="1" applyFont="1" applyFill="1" applyBorder="1" applyAlignment="1">
      <alignment horizontal="center" vertical="center"/>
    </xf>
    <xf numFmtId="40" fontId="16" fillId="3" borderId="4" xfId="0" applyNumberFormat="1" applyFont="1" applyFill="1" applyBorder="1" applyAlignment="1">
      <alignment horizontal="center" vertical="center"/>
    </xf>
    <xf numFmtId="40" fontId="4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40" fontId="4" fillId="5" borderId="4" xfId="0" applyNumberFormat="1" applyFont="1" applyFill="1" applyBorder="1" applyAlignment="1">
      <alignment horizontal="center" vertical="center"/>
    </xf>
    <xf numFmtId="40" fontId="8" fillId="5" borderId="4" xfId="0" applyNumberFormat="1" applyFont="1" applyFill="1" applyBorder="1" applyAlignment="1">
      <alignment vertical="center"/>
    </xf>
    <xf numFmtId="40" fontId="4" fillId="15" borderId="4" xfId="0" applyNumberFormat="1" applyFont="1" applyFill="1" applyBorder="1" applyAlignment="1">
      <alignment horizontal="center" vertical="center"/>
    </xf>
    <xf numFmtId="40" fontId="23" fillId="15" borderId="4" xfId="0" applyNumberFormat="1" applyFont="1" applyFill="1" applyBorder="1" applyAlignment="1">
      <alignment horizontal="center" vertical="center"/>
    </xf>
    <xf numFmtId="40" fontId="4" fillId="12" borderId="4" xfId="0" applyNumberFormat="1" applyFont="1" applyFill="1" applyBorder="1" applyAlignment="1">
      <alignment horizontal="center" vertical="center"/>
    </xf>
    <xf numFmtId="40" fontId="23" fillId="12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left" vertical="center"/>
    </xf>
    <xf numFmtId="38" fontId="4" fillId="15" borderId="4" xfId="0" applyNumberFormat="1" applyFont="1" applyFill="1" applyBorder="1" applyAlignment="1">
      <alignment vertical="center"/>
    </xf>
    <xf numFmtId="38" fontId="4" fillId="12" borderId="4" xfId="0" applyNumberFormat="1" applyFont="1" applyFill="1" applyBorder="1" applyAlignment="1">
      <alignment vertical="center"/>
    </xf>
    <xf numFmtId="38" fontId="4" fillId="5" borderId="4" xfId="0" applyNumberFormat="1" applyFont="1" applyFill="1" applyBorder="1" applyAlignment="1">
      <alignment vertical="center"/>
    </xf>
    <xf numFmtId="40" fontId="4" fillId="5" borderId="4" xfId="0" applyNumberFormat="1" applyFont="1" applyFill="1" applyBorder="1" applyAlignment="1">
      <alignment vertical="center"/>
    </xf>
    <xf numFmtId="165" fontId="8" fillId="5" borderId="4" xfId="0" applyNumberFormat="1" applyFont="1" applyFill="1" applyBorder="1" applyAlignment="1">
      <alignment vertical="center"/>
    </xf>
    <xf numFmtId="40" fontId="8" fillId="0" borderId="4" xfId="0" applyNumberFormat="1" applyFont="1" applyBorder="1" applyAlignment="1">
      <alignment vertical="center"/>
    </xf>
    <xf numFmtId="38" fontId="8" fillId="18" borderId="4" xfId="0" applyNumberFormat="1" applyFont="1" applyFill="1" applyBorder="1" applyAlignment="1">
      <alignment vertical="center"/>
    </xf>
    <xf numFmtId="38" fontId="8" fillId="12" borderId="4" xfId="0" applyNumberFormat="1" applyFont="1" applyFill="1" applyBorder="1" applyAlignment="1">
      <alignment vertical="center"/>
    </xf>
    <xf numFmtId="38" fontId="8" fillId="5" borderId="4" xfId="0" applyNumberFormat="1" applyFont="1" applyFill="1" applyBorder="1" applyAlignment="1">
      <alignment vertical="center"/>
    </xf>
    <xf numFmtId="10" fontId="8" fillId="5" borderId="4" xfId="0" applyNumberFormat="1" applyFont="1" applyFill="1" applyBorder="1" applyAlignment="1">
      <alignment vertical="center"/>
    </xf>
    <xf numFmtId="168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1" fontId="19" fillId="0" borderId="0" xfId="0" applyNumberFormat="1" applyFont="1" applyAlignment="1">
      <alignment vertical="center"/>
    </xf>
    <xf numFmtId="38" fontId="12" fillId="18" borderId="0" xfId="0" applyNumberFormat="1" applyFont="1" applyFill="1" applyAlignment="1">
      <alignment horizontal="right"/>
    </xf>
    <xf numFmtId="40" fontId="18" fillId="0" borderId="4" xfId="0" applyNumberFormat="1" applyFont="1" applyBorder="1" applyAlignment="1">
      <alignment vertical="center"/>
    </xf>
    <xf numFmtId="38" fontId="12" fillId="12" borderId="4" xfId="0" applyNumberFormat="1" applyFont="1" applyFill="1" applyBorder="1" applyAlignment="1">
      <alignment horizontal="right"/>
    </xf>
    <xf numFmtId="38" fontId="12" fillId="12" borderId="3" xfId="0" applyNumberFormat="1" applyFont="1" applyFill="1" applyBorder="1" applyAlignment="1">
      <alignment horizontal="right"/>
    </xf>
    <xf numFmtId="38" fontId="4" fillId="18" borderId="4" xfId="0" applyNumberFormat="1" applyFont="1" applyFill="1" applyBorder="1" applyAlignment="1">
      <alignment vertical="center"/>
    </xf>
    <xf numFmtId="38" fontId="4" fillId="5" borderId="4" xfId="0" applyNumberFormat="1" applyFont="1" applyFill="1" applyBorder="1" applyAlignment="1">
      <alignment horizontal="right" vertical="center"/>
    </xf>
    <xf numFmtId="38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4" fontId="24" fillId="8" borderId="0" xfId="0" applyNumberFormat="1" applyFont="1" applyFill="1"/>
    <xf numFmtId="40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38" fontId="19" fillId="0" borderId="0" xfId="0" applyNumberFormat="1" applyFont="1" applyAlignment="1">
      <alignment vertical="center"/>
    </xf>
    <xf numFmtId="38" fontId="20" fillId="0" borderId="0" xfId="0" applyNumberFormat="1" applyFont="1" applyAlignment="1">
      <alignment vertical="center"/>
    </xf>
    <xf numFmtId="40" fontId="16" fillId="2" borderId="4" xfId="0" applyNumberFormat="1" applyFont="1" applyFill="1" applyBorder="1" applyAlignment="1">
      <alignment horizontal="center" vertical="center"/>
    </xf>
    <xf numFmtId="9" fontId="19" fillId="0" borderId="0" xfId="0" applyNumberFormat="1" applyFont="1" applyAlignment="1">
      <alignment vertical="center"/>
    </xf>
    <xf numFmtId="40" fontId="4" fillId="9" borderId="4" xfId="0" applyNumberFormat="1" applyFont="1" applyFill="1" applyBorder="1" applyAlignment="1">
      <alignment horizontal="center" vertical="center"/>
    </xf>
    <xf numFmtId="40" fontId="23" fillId="9" borderId="4" xfId="0" applyNumberFormat="1" applyFont="1" applyFill="1" applyBorder="1" applyAlignment="1">
      <alignment horizontal="center" vertical="center"/>
    </xf>
    <xf numFmtId="38" fontId="4" fillId="12" borderId="4" xfId="0" applyNumberFormat="1" applyFont="1" applyFill="1" applyBorder="1" applyAlignment="1">
      <alignment horizontal="center" vertical="center"/>
    </xf>
    <xf numFmtId="38" fontId="23" fillId="12" borderId="4" xfId="0" applyNumberFormat="1" applyFont="1" applyFill="1" applyBorder="1" applyAlignment="1">
      <alignment horizontal="center" vertical="center"/>
    </xf>
    <xf numFmtId="38" fontId="4" fillId="9" borderId="4" xfId="0" applyNumberFormat="1" applyFont="1" applyFill="1" applyBorder="1" applyAlignment="1">
      <alignment vertical="center"/>
    </xf>
    <xf numFmtId="38" fontId="4" fillId="12" borderId="4" xfId="0" applyNumberFormat="1" applyFont="1" applyFill="1" applyBorder="1" applyAlignment="1">
      <alignment horizontal="right" vertical="center"/>
    </xf>
    <xf numFmtId="38" fontId="8" fillId="9" borderId="4" xfId="0" applyNumberFormat="1" applyFont="1" applyFill="1" applyBorder="1" applyAlignment="1">
      <alignment vertical="center"/>
    </xf>
    <xf numFmtId="38" fontId="8" fillId="0" borderId="4" xfId="0" applyNumberFormat="1" applyFont="1" applyBorder="1" applyAlignment="1">
      <alignment vertical="center"/>
    </xf>
    <xf numFmtId="10" fontId="8" fillId="0" borderId="4" xfId="0" applyNumberFormat="1" applyFont="1" applyBorder="1" applyAlignment="1">
      <alignment vertical="center"/>
    </xf>
    <xf numFmtId="38" fontId="8" fillId="12" borderId="4" xfId="0" applyNumberFormat="1" applyFont="1" applyFill="1" applyBorder="1" applyAlignment="1">
      <alignment horizontal="center" vertical="center"/>
    </xf>
    <xf numFmtId="40" fontId="8" fillId="8" borderId="4" xfId="0" applyNumberFormat="1" applyFont="1" applyFill="1" applyBorder="1" applyAlignment="1">
      <alignment vertical="center"/>
    </xf>
    <xf numFmtId="40" fontId="8" fillId="0" borderId="0" xfId="0" applyNumberFormat="1" applyFont="1" applyAlignment="1">
      <alignment vertical="center"/>
    </xf>
    <xf numFmtId="40" fontId="8" fillId="10" borderId="4" xfId="0" applyNumberFormat="1" applyFont="1" applyFill="1" applyBorder="1" applyAlignment="1">
      <alignment vertical="center"/>
    </xf>
    <xf numFmtId="38" fontId="8" fillId="10" borderId="4" xfId="0" applyNumberFormat="1" applyFont="1" applyFill="1" applyBorder="1" applyAlignment="1">
      <alignment vertical="center"/>
    </xf>
    <xf numFmtId="0" fontId="24" fillId="8" borderId="0" xfId="0" applyFont="1" applyFill="1"/>
    <xf numFmtId="10" fontId="19" fillId="0" borderId="0" xfId="0" applyNumberFormat="1" applyFont="1" applyAlignment="1">
      <alignment vertical="center"/>
    </xf>
    <xf numFmtId="3" fontId="19" fillId="7" borderId="0" xfId="0" applyNumberFormat="1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40" fontId="2" fillId="4" borderId="4" xfId="0" applyNumberFormat="1" applyFont="1" applyFill="1" applyBorder="1" applyAlignment="1">
      <alignment horizontal="right" vertical="center"/>
    </xf>
    <xf numFmtId="40" fontId="25" fillId="0" borderId="0" xfId="0" applyNumberFormat="1" applyFont="1"/>
    <xf numFmtId="38" fontId="21" fillId="0" borderId="4" xfId="0" applyNumberFormat="1" applyFont="1" applyBorder="1"/>
    <xf numFmtId="166" fontId="1" fillId="0" borderId="0" xfId="0" applyNumberFormat="1" applyFont="1"/>
    <xf numFmtId="169" fontId="1" fillId="0" borderId="0" xfId="0" applyNumberFormat="1" applyFont="1"/>
    <xf numFmtId="40" fontId="6" fillId="0" borderId="0" xfId="0" applyNumberFormat="1" applyFont="1"/>
    <xf numFmtId="38" fontId="6" fillId="0" borderId="0" xfId="0" applyNumberFormat="1" applyFont="1"/>
    <xf numFmtId="40" fontId="6" fillId="5" borderId="18" xfId="0" applyNumberFormat="1" applyFont="1" applyFill="1" applyBorder="1"/>
    <xf numFmtId="40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0" fontId="2" fillId="3" borderId="20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/>
    </xf>
    <xf numFmtId="14" fontId="2" fillId="3" borderId="28" xfId="0" applyNumberFormat="1" applyFont="1" applyFill="1" applyBorder="1" applyAlignment="1">
      <alignment horizontal="center" vertical="center" wrapText="1"/>
    </xf>
    <xf numFmtId="14" fontId="2" fillId="16" borderId="29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40" fontId="2" fillId="5" borderId="44" xfId="0" applyNumberFormat="1" applyFont="1" applyFill="1" applyBorder="1" applyAlignment="1">
      <alignment horizontal="center" vertical="center"/>
    </xf>
    <xf numFmtId="40" fontId="2" fillId="6" borderId="48" xfId="0" applyNumberFormat="1" applyFont="1" applyFill="1" applyBorder="1" applyAlignment="1">
      <alignment horizontal="center" vertical="center"/>
    </xf>
    <xf numFmtId="40" fontId="2" fillId="6" borderId="49" xfId="0" applyNumberFormat="1" applyFont="1" applyFill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40" fontId="1" fillId="0" borderId="51" xfId="0" applyNumberFormat="1" applyFont="1" applyBorder="1" applyAlignment="1">
      <alignment horizontal="center" vertical="center"/>
    </xf>
    <xf numFmtId="10" fontId="1" fillId="0" borderId="52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0" fontId="1" fillId="0" borderId="4" xfId="0" applyNumberFormat="1" applyFont="1" applyBorder="1" applyAlignment="1">
      <alignment horizontal="center" vertical="center"/>
    </xf>
    <xf numFmtId="10" fontId="1" fillId="0" borderId="54" xfId="0" applyNumberFormat="1" applyFont="1" applyBorder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0" fontId="1" fillId="0" borderId="53" xfId="0" applyNumberFormat="1" applyFont="1" applyBorder="1" applyAlignment="1">
      <alignment horizontal="center" vertical="center"/>
    </xf>
    <xf numFmtId="40" fontId="2" fillId="0" borderId="55" xfId="0" applyNumberFormat="1" applyFont="1" applyBorder="1" applyAlignment="1">
      <alignment horizontal="center" vertical="center"/>
    </xf>
    <xf numFmtId="38" fontId="2" fillId="0" borderId="16" xfId="0" applyNumberFormat="1" applyFont="1" applyBorder="1" applyAlignment="1">
      <alignment horizontal="center" vertical="center"/>
    </xf>
    <xf numFmtId="38" fontId="1" fillId="0" borderId="16" xfId="0" applyNumberFormat="1" applyFont="1" applyBorder="1" applyAlignment="1">
      <alignment horizontal="center" vertical="center"/>
    </xf>
    <xf numFmtId="40" fontId="1" fillId="0" borderId="16" xfId="0" applyNumberFormat="1" applyFont="1" applyBorder="1" applyAlignment="1">
      <alignment horizontal="center" vertical="center"/>
    </xf>
    <xf numFmtId="10" fontId="1" fillId="0" borderId="56" xfId="0" applyNumberFormat="1" applyFont="1" applyBorder="1" applyAlignment="1">
      <alignment horizontal="center" vertical="center"/>
    </xf>
    <xf numFmtId="40" fontId="2" fillId="5" borderId="57" xfId="0" applyNumberFormat="1" applyFont="1" applyFill="1" applyBorder="1" applyAlignment="1">
      <alignment horizontal="center" vertical="center"/>
    </xf>
    <xf numFmtId="38" fontId="2" fillId="5" borderId="58" xfId="0" applyNumberFormat="1" applyFont="1" applyFill="1" applyBorder="1" applyAlignment="1">
      <alignment horizontal="center" vertical="center"/>
    </xf>
    <xf numFmtId="40" fontId="2" fillId="0" borderId="59" xfId="0" applyNumberFormat="1" applyFont="1" applyBorder="1" applyAlignment="1">
      <alignment horizontal="center" vertical="center"/>
    </xf>
    <xf numFmtId="164" fontId="6" fillId="0" borderId="0" xfId="0" applyNumberFormat="1" applyFont="1"/>
    <xf numFmtId="167" fontId="2" fillId="4" borderId="4" xfId="0" applyNumberFormat="1" applyFont="1" applyFill="1" applyBorder="1" applyAlignment="1">
      <alignment horizontal="center" vertical="center"/>
    </xf>
    <xf numFmtId="40" fontId="2" fillId="5" borderId="4" xfId="0" applyNumberFormat="1" applyFont="1" applyFill="1" applyBorder="1" applyAlignment="1">
      <alignment vertical="center"/>
    </xf>
    <xf numFmtId="38" fontId="2" fillId="6" borderId="4" xfId="0" applyNumberFormat="1" applyFont="1" applyFill="1" applyBorder="1" applyAlignment="1">
      <alignment horizontal="center" vertical="center"/>
    </xf>
    <xf numFmtId="38" fontId="2" fillId="6" borderId="4" xfId="0" applyNumberFormat="1" applyFont="1" applyFill="1" applyBorder="1" applyAlignment="1">
      <alignment horizontal="center" wrapText="1"/>
    </xf>
    <xf numFmtId="0" fontId="6" fillId="0" borderId="4" xfId="0" applyFont="1" applyBorder="1"/>
    <xf numFmtId="40" fontId="8" fillId="0" borderId="4" xfId="0" applyNumberFormat="1" applyFont="1" applyBorder="1"/>
    <xf numFmtId="40" fontId="2" fillId="0" borderId="0" xfId="0" applyNumberFormat="1" applyFont="1" applyAlignment="1">
      <alignment horizontal="center"/>
    </xf>
    <xf numFmtId="38" fontId="1" fillId="4" borderId="4" xfId="0" applyNumberFormat="1" applyFont="1" applyFill="1" applyBorder="1" applyAlignment="1">
      <alignment horizontal="center"/>
    </xf>
    <xf numFmtId="40" fontId="2" fillId="19" borderId="4" xfId="0" applyNumberFormat="1" applyFont="1" applyFill="1" applyBorder="1" applyAlignment="1">
      <alignment horizontal="center" vertical="center"/>
    </xf>
    <xf numFmtId="40" fontId="2" fillId="19" borderId="4" xfId="0" applyNumberFormat="1" applyFont="1" applyFill="1" applyBorder="1" applyAlignment="1">
      <alignment horizontal="center" vertical="center" wrapText="1"/>
    </xf>
    <xf numFmtId="38" fontId="1" fillId="19" borderId="4" xfId="0" applyNumberFormat="1" applyFont="1" applyFill="1" applyBorder="1" applyAlignment="1">
      <alignment horizontal="center"/>
    </xf>
    <xf numFmtId="164" fontId="2" fillId="25" borderId="67" xfId="0" applyNumberFormat="1" applyFont="1" applyFill="1" applyBorder="1" applyAlignment="1">
      <alignment horizontal="center" vertical="center"/>
    </xf>
    <xf numFmtId="164" fontId="2" fillId="23" borderId="67" xfId="0" applyNumberFormat="1" applyFont="1" applyFill="1" applyBorder="1" applyAlignment="1">
      <alignment horizontal="center" vertical="center"/>
    </xf>
    <xf numFmtId="40" fontId="2" fillId="19" borderId="71" xfId="0" applyNumberFormat="1" applyFont="1" applyFill="1" applyBorder="1" applyAlignment="1">
      <alignment horizontal="center" vertical="center"/>
    </xf>
    <xf numFmtId="40" fontId="2" fillId="19" borderId="71" xfId="0" applyNumberFormat="1" applyFont="1" applyFill="1" applyBorder="1" applyAlignment="1">
      <alignment horizontal="center" vertical="center" wrapText="1"/>
    </xf>
    <xf numFmtId="40" fontId="2" fillId="5" borderId="73" xfId="0" applyNumberFormat="1" applyFont="1" applyFill="1" applyBorder="1"/>
    <xf numFmtId="0" fontId="2" fillId="4" borderId="71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38" fontId="1" fillId="4" borderId="71" xfId="0" applyNumberFormat="1" applyFont="1" applyFill="1" applyBorder="1" applyAlignment="1">
      <alignment horizontal="center"/>
    </xf>
    <xf numFmtId="38" fontId="1" fillId="4" borderId="72" xfId="0" applyNumberFormat="1" applyFont="1" applyFill="1" applyBorder="1" applyAlignment="1">
      <alignment horizontal="center"/>
    </xf>
    <xf numFmtId="40" fontId="2" fillId="25" borderId="83" xfId="0" applyNumberFormat="1" applyFont="1" applyFill="1" applyBorder="1" applyAlignment="1">
      <alignment horizontal="center" vertical="center"/>
    </xf>
    <xf numFmtId="40" fontId="2" fillId="25" borderId="84" xfId="0" applyNumberFormat="1" applyFont="1" applyFill="1" applyBorder="1" applyAlignment="1">
      <alignment horizontal="center" vertical="center"/>
    </xf>
    <xf numFmtId="40" fontId="2" fillId="25" borderId="85" xfId="0" applyNumberFormat="1" applyFont="1" applyFill="1" applyBorder="1" applyAlignment="1">
      <alignment horizontal="center" vertical="center"/>
    </xf>
    <xf numFmtId="38" fontId="2" fillId="25" borderId="86" xfId="0" applyNumberFormat="1" applyFont="1" applyFill="1" applyBorder="1" applyAlignment="1">
      <alignment horizontal="center" vertical="center"/>
    </xf>
    <xf numFmtId="164" fontId="2" fillId="25" borderId="86" xfId="0" applyNumberFormat="1" applyFont="1" applyFill="1" applyBorder="1" applyAlignment="1">
      <alignment horizontal="center" vertical="center"/>
    </xf>
    <xf numFmtId="40" fontId="2" fillId="25" borderId="87" xfId="0" applyNumberFormat="1" applyFont="1" applyFill="1" applyBorder="1" applyAlignment="1">
      <alignment horizontal="center" vertical="center"/>
    </xf>
    <xf numFmtId="1" fontId="2" fillId="20" borderId="71" xfId="0" applyNumberFormat="1" applyFont="1" applyFill="1" applyBorder="1" applyAlignment="1">
      <alignment horizontal="center"/>
    </xf>
    <xf numFmtId="40" fontId="2" fillId="21" borderId="88" xfId="0" applyNumberFormat="1" applyFont="1" applyFill="1" applyBorder="1" applyAlignment="1">
      <alignment vertical="center"/>
    </xf>
    <xf numFmtId="38" fontId="1" fillId="0" borderId="18" xfId="0" applyNumberFormat="1" applyFont="1" applyBorder="1"/>
    <xf numFmtId="40" fontId="1" fillId="0" borderId="90" xfId="0" applyNumberFormat="1" applyFont="1" applyBorder="1"/>
    <xf numFmtId="38" fontId="1" fillId="0" borderId="91" xfId="0" applyNumberFormat="1" applyFont="1" applyBorder="1"/>
    <xf numFmtId="38" fontId="1" fillId="4" borderId="91" xfId="0" applyNumberFormat="1" applyFont="1" applyFill="1" applyBorder="1"/>
    <xf numFmtId="10" fontId="1" fillId="0" borderId="92" xfId="0" applyNumberFormat="1" applyFont="1" applyBorder="1"/>
    <xf numFmtId="40" fontId="1" fillId="0" borderId="71" xfId="0" applyNumberFormat="1" applyFont="1" applyBorder="1"/>
    <xf numFmtId="10" fontId="1" fillId="0" borderId="72" xfId="0" applyNumberFormat="1" applyFont="1" applyBorder="1"/>
    <xf numFmtId="38" fontId="1" fillId="0" borderId="93" xfId="0" applyNumberFormat="1" applyFont="1" applyBorder="1"/>
    <xf numFmtId="10" fontId="1" fillId="0" borderId="94" xfId="0" applyNumberFormat="1" applyFont="1" applyBorder="1"/>
    <xf numFmtId="38" fontId="2" fillId="6" borderId="76" xfId="0" applyNumberFormat="1" applyFont="1" applyFill="1" applyBorder="1" applyAlignment="1">
      <alignment horizontal="center" vertical="center" wrapText="1"/>
    </xf>
    <xf numFmtId="38" fontId="2" fillId="6" borderId="95" xfId="0" applyNumberFormat="1" applyFont="1" applyFill="1" applyBorder="1" applyAlignment="1">
      <alignment horizontal="center" wrapText="1"/>
    </xf>
    <xf numFmtId="38" fontId="2" fillId="6" borderId="96" xfId="0" applyNumberFormat="1" applyFont="1" applyFill="1" applyBorder="1" applyAlignment="1">
      <alignment horizontal="center" wrapText="1"/>
    </xf>
    <xf numFmtId="40" fontId="8" fillId="0" borderId="97" xfId="0" applyNumberFormat="1" applyFont="1" applyBorder="1"/>
    <xf numFmtId="38" fontId="1" fillId="0" borderId="49" xfId="0" applyNumberFormat="1" applyFont="1" applyBorder="1"/>
    <xf numFmtId="38" fontId="1" fillId="4" borderId="49" xfId="0" applyNumberFormat="1" applyFont="1" applyFill="1" applyBorder="1"/>
    <xf numFmtId="40" fontId="1" fillId="0" borderId="18" xfId="0" applyNumberFormat="1" applyFont="1" applyBorder="1"/>
    <xf numFmtId="40" fontId="2" fillId="5" borderId="76" xfId="0" applyNumberFormat="1" applyFont="1" applyFill="1" applyBorder="1"/>
    <xf numFmtId="38" fontId="2" fillId="5" borderId="95" xfId="0" applyNumberFormat="1" applyFont="1" applyFill="1" applyBorder="1"/>
    <xf numFmtId="38" fontId="1" fillId="0" borderId="96" xfId="0" applyNumberFormat="1" applyFont="1" applyBorder="1"/>
    <xf numFmtId="40" fontId="2" fillId="0" borderId="76" xfId="0" applyNumberFormat="1" applyFont="1" applyBorder="1"/>
    <xf numFmtId="40" fontId="1" fillId="0" borderId="96" xfId="0" applyNumberFormat="1" applyFont="1" applyBorder="1"/>
    <xf numFmtId="40" fontId="1" fillId="0" borderId="84" xfId="0" applyNumberFormat="1" applyFont="1" applyBorder="1"/>
    <xf numFmtId="40" fontId="1" fillId="0" borderId="85" xfId="0" applyNumberFormat="1" applyFont="1" applyBorder="1"/>
    <xf numFmtId="40" fontId="1" fillId="0" borderId="105" xfId="0" applyNumberFormat="1" applyFont="1" applyBorder="1"/>
    <xf numFmtId="165" fontId="1" fillId="0" borderId="105" xfId="0" applyNumberFormat="1" applyFont="1" applyBorder="1"/>
    <xf numFmtId="40" fontId="1" fillId="0" borderId="86" xfId="0" applyNumberFormat="1" applyFont="1" applyBorder="1"/>
    <xf numFmtId="38" fontId="1" fillId="0" borderId="86" xfId="0" applyNumberFormat="1" applyFont="1" applyBorder="1"/>
    <xf numFmtId="38" fontId="1" fillId="0" borderId="87" xfId="0" applyNumberFormat="1" applyFont="1" applyBorder="1"/>
    <xf numFmtId="0" fontId="13" fillId="0" borderId="84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7" fillId="0" borderId="102" xfId="0" applyFont="1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26" fillId="0" borderId="102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102" xfId="0" applyFont="1" applyBorder="1" applyAlignment="1">
      <alignment horizontal="center" vertical="center" wrapText="1"/>
    </xf>
    <xf numFmtId="0" fontId="26" fillId="0" borderId="10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/>
    </xf>
    <xf numFmtId="38" fontId="2" fillId="5" borderId="74" xfId="0" applyNumberFormat="1" applyFont="1" applyFill="1" applyBorder="1" applyAlignment="1">
      <alignment horizontal="center" vertical="center"/>
    </xf>
    <xf numFmtId="0" fontId="3" fillId="20" borderId="75" xfId="0" applyFont="1" applyFill="1" applyBorder="1"/>
    <xf numFmtId="38" fontId="2" fillId="21" borderId="89" xfId="0" applyNumberFormat="1" applyFont="1" applyFill="1" applyBorder="1" applyAlignment="1">
      <alignment horizontal="center" vertical="center"/>
    </xf>
    <xf numFmtId="0" fontId="3" fillId="22" borderId="84" xfId="0" applyFont="1" applyFill="1" applyBorder="1"/>
    <xf numFmtId="0" fontId="3" fillId="22" borderId="85" xfId="0" applyFont="1" applyFill="1" applyBorder="1"/>
    <xf numFmtId="38" fontId="2" fillId="0" borderId="77" xfId="0" applyNumberFormat="1" applyFont="1" applyBorder="1" applyAlignment="1">
      <alignment horizontal="center" vertical="center"/>
    </xf>
    <xf numFmtId="0" fontId="3" fillId="0" borderId="78" xfId="0" applyFont="1" applyBorder="1"/>
    <xf numFmtId="0" fontId="3" fillId="0" borderId="98" xfId="0" applyFont="1" applyBorder="1"/>
    <xf numFmtId="38" fontId="2" fillId="4" borderId="65" xfId="0" applyNumberFormat="1" applyFont="1" applyFill="1" applyBorder="1" applyAlignment="1">
      <alignment horizontal="center" wrapText="1"/>
    </xf>
    <xf numFmtId="38" fontId="2" fillId="4" borderId="75" xfId="0" applyNumberFormat="1" applyFont="1" applyFill="1" applyBorder="1" applyAlignment="1">
      <alignment horizontal="center" wrapText="1"/>
    </xf>
    <xf numFmtId="38" fontId="2" fillId="4" borderId="66" xfId="0" applyNumberFormat="1" applyFont="1" applyFill="1" applyBorder="1" applyAlignment="1">
      <alignment horizontal="center" wrapText="1"/>
    </xf>
    <xf numFmtId="40" fontId="2" fillId="23" borderId="82" xfId="0" applyNumberFormat="1" applyFont="1" applyFill="1" applyBorder="1" applyAlignment="1">
      <alignment horizontal="center" vertical="center"/>
    </xf>
    <xf numFmtId="0" fontId="3" fillId="24" borderId="78" xfId="0" applyFont="1" applyFill="1" applyBorder="1"/>
    <xf numFmtId="0" fontId="3" fillId="24" borderId="79" xfId="0" applyFont="1" applyFill="1" applyBorder="1"/>
    <xf numFmtId="40" fontId="2" fillId="25" borderId="81" xfId="0" applyNumberFormat="1" applyFont="1" applyFill="1" applyBorder="1" applyAlignment="1">
      <alignment horizontal="center" vertical="center"/>
    </xf>
    <xf numFmtId="0" fontId="3" fillId="24" borderId="80" xfId="0" applyFont="1" applyFill="1" applyBorder="1"/>
    <xf numFmtId="164" fontId="2" fillId="23" borderId="68" xfId="0" applyNumberFormat="1" applyFont="1" applyFill="1" applyBorder="1" applyAlignment="1">
      <alignment horizontal="center" vertical="center"/>
    </xf>
    <xf numFmtId="0" fontId="3" fillId="24" borderId="69" xfId="0" applyFont="1" applyFill="1" applyBorder="1"/>
    <xf numFmtId="40" fontId="2" fillId="19" borderId="63" xfId="0" applyNumberFormat="1" applyFont="1" applyFill="1" applyBorder="1" applyAlignment="1">
      <alignment horizontal="center" vertical="center"/>
    </xf>
    <xf numFmtId="0" fontId="3" fillId="20" borderId="70" xfId="0" applyFont="1" applyFill="1" applyBorder="1"/>
    <xf numFmtId="40" fontId="2" fillId="4" borderId="63" xfId="0" applyNumberFormat="1" applyFont="1" applyFill="1" applyBorder="1" applyAlignment="1">
      <alignment horizontal="center" vertical="center"/>
    </xf>
    <xf numFmtId="0" fontId="3" fillId="0" borderId="70" xfId="0" applyFont="1" applyBorder="1"/>
    <xf numFmtId="0" fontId="3" fillId="0" borderId="64" xfId="0" applyFont="1" applyBorder="1"/>
    <xf numFmtId="40" fontId="1" fillId="0" borderId="0" xfId="0" applyNumberFormat="1" applyFont="1"/>
    <xf numFmtId="0" fontId="0" fillId="0" borderId="0" xfId="0"/>
    <xf numFmtId="4" fontId="2" fillId="5" borderId="7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3" fontId="1" fillId="11" borderId="11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5" xfId="0" applyFont="1" applyBorder="1"/>
    <xf numFmtId="0" fontId="1" fillId="11" borderId="15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6" xfId="0" applyFont="1" applyBorder="1"/>
    <xf numFmtId="3" fontId="2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13" xfId="0" applyFont="1" applyBorder="1"/>
    <xf numFmtId="4" fontId="2" fillId="5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0" fontId="2" fillId="7" borderId="7" xfId="0" applyNumberFormat="1" applyFont="1" applyFill="1" applyBorder="1" applyAlignment="1">
      <alignment horizontal="center" vertical="center"/>
    </xf>
    <xf numFmtId="0" fontId="3" fillId="0" borderId="12" xfId="0" applyFont="1" applyBorder="1"/>
    <xf numFmtId="40" fontId="5" fillId="14" borderId="14" xfId="0" applyNumberFormat="1" applyFont="1" applyFill="1" applyBorder="1"/>
    <xf numFmtId="40" fontId="2" fillId="0" borderId="1" xfId="0" applyNumberFormat="1" applyFont="1" applyBorder="1" applyAlignment="1">
      <alignment horizontal="center" vertical="center"/>
    </xf>
    <xf numFmtId="40" fontId="2" fillId="2" borderId="1" xfId="0" applyNumberFormat="1" applyFont="1" applyFill="1" applyBorder="1" applyAlignment="1">
      <alignment horizontal="center" vertical="center"/>
    </xf>
    <xf numFmtId="40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0" fontId="2" fillId="3" borderId="14" xfId="0" applyNumberFormat="1" applyFont="1" applyFill="1" applyBorder="1" applyAlignment="1">
      <alignment horizontal="center" vertical="center"/>
    </xf>
    <xf numFmtId="40" fontId="2" fillId="5" borderId="1" xfId="0" applyNumberFormat="1" applyFont="1" applyFill="1" applyBorder="1" applyAlignment="1">
      <alignment horizontal="center" vertical="center"/>
    </xf>
    <xf numFmtId="40" fontId="2" fillId="3" borderId="1" xfId="0" applyNumberFormat="1" applyFont="1" applyFill="1" applyBorder="1" applyAlignment="1">
      <alignment horizontal="center"/>
    </xf>
    <xf numFmtId="40" fontId="1" fillId="14" borderId="14" xfId="0" applyNumberFormat="1" applyFont="1" applyFill="1" applyBorder="1"/>
    <xf numFmtId="40" fontId="17" fillId="5" borderId="1" xfId="0" applyNumberFormat="1" applyFont="1" applyFill="1" applyBorder="1" applyAlignment="1">
      <alignment horizontal="center" vertical="center"/>
    </xf>
    <xf numFmtId="40" fontId="2" fillId="9" borderId="1" xfId="0" applyNumberFormat="1" applyFont="1" applyFill="1" applyBorder="1" applyAlignment="1">
      <alignment horizontal="center" vertical="center"/>
    </xf>
    <xf numFmtId="40" fontId="2" fillId="15" borderId="1" xfId="0" applyNumberFormat="1" applyFont="1" applyFill="1" applyBorder="1" applyAlignment="1">
      <alignment horizontal="center" vertical="center"/>
    </xf>
    <xf numFmtId="40" fontId="17" fillId="5" borderId="2" xfId="0" applyNumberFormat="1" applyFont="1" applyFill="1" applyBorder="1" applyAlignment="1">
      <alignment horizontal="center" vertical="center"/>
    </xf>
    <xf numFmtId="40" fontId="2" fillId="13" borderId="1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40" fontId="2" fillId="2" borderId="14" xfId="0" applyNumberFormat="1" applyFont="1" applyFill="1" applyBorder="1" applyAlignment="1">
      <alignment horizontal="center" vertical="center"/>
    </xf>
    <xf numFmtId="40" fontId="4" fillId="5" borderId="1" xfId="0" applyNumberFormat="1" applyFont="1" applyFill="1" applyBorder="1" applyAlignment="1">
      <alignment horizontal="center" vertical="center"/>
    </xf>
    <xf numFmtId="40" fontId="4" fillId="12" borderId="1" xfId="0" applyNumberFormat="1" applyFont="1" applyFill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40" fontId="4" fillId="2" borderId="1" xfId="0" applyNumberFormat="1" applyFont="1" applyFill="1" applyBorder="1" applyAlignment="1">
      <alignment horizontal="center" vertical="center"/>
    </xf>
    <xf numFmtId="40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0" fontId="4" fillId="3" borderId="14" xfId="0" applyNumberFormat="1" applyFont="1" applyFill="1" applyBorder="1" applyAlignment="1">
      <alignment horizontal="center" vertical="center"/>
    </xf>
    <xf numFmtId="40" fontId="4" fillId="15" borderId="1" xfId="0" applyNumberFormat="1" applyFont="1" applyFill="1" applyBorder="1" applyAlignment="1">
      <alignment horizontal="center" vertical="center"/>
    </xf>
    <xf numFmtId="40" fontId="16" fillId="2" borderId="1" xfId="0" applyNumberFormat="1" applyFont="1" applyFill="1" applyBorder="1" applyAlignment="1">
      <alignment horizontal="center" vertical="center"/>
    </xf>
    <xf numFmtId="40" fontId="16" fillId="3" borderId="1" xfId="0" applyNumberFormat="1" applyFont="1" applyFill="1" applyBorder="1" applyAlignment="1">
      <alignment horizontal="center" vertical="center"/>
    </xf>
    <xf numFmtId="38" fontId="4" fillId="12" borderId="1" xfId="0" applyNumberFormat="1" applyFont="1" applyFill="1" applyBorder="1" applyAlignment="1">
      <alignment horizontal="center" vertical="center"/>
    </xf>
    <xf numFmtId="40" fontId="4" fillId="9" borderId="1" xfId="0" applyNumberFormat="1" applyFont="1" applyFill="1" applyBorder="1" applyAlignment="1">
      <alignment horizontal="center" vertical="center"/>
    </xf>
    <xf numFmtId="38" fontId="5" fillId="6" borderId="14" xfId="0" applyNumberFormat="1" applyFont="1" applyFill="1" applyBorder="1"/>
    <xf numFmtId="38" fontId="2" fillId="10" borderId="1" xfId="0" applyNumberFormat="1" applyFont="1" applyFill="1" applyBorder="1" applyAlignment="1">
      <alignment horizontal="center" vertical="center"/>
    </xf>
    <xf numFmtId="38" fontId="1" fillId="0" borderId="0" xfId="0" applyNumberFormat="1" applyFont="1"/>
    <xf numFmtId="0" fontId="3" fillId="0" borderId="17" xfId="0" applyFont="1" applyBorder="1"/>
    <xf numFmtId="40" fontId="17" fillId="5" borderId="19" xfId="0" applyNumberFormat="1" applyFont="1" applyFill="1" applyBorder="1" applyAlignment="1">
      <alignment horizontal="center" vertical="center"/>
    </xf>
    <xf numFmtId="40" fontId="2" fillId="5" borderId="45" xfId="0" applyNumberFormat="1" applyFont="1" applyFill="1" applyBorder="1" applyAlignment="1">
      <alignment horizontal="center" vertical="center"/>
    </xf>
    <xf numFmtId="0" fontId="3" fillId="0" borderId="46" xfId="0" applyFont="1" applyBorder="1"/>
    <xf numFmtId="0" fontId="3" fillId="0" borderId="47" xfId="0" applyFont="1" applyBorder="1"/>
    <xf numFmtId="38" fontId="2" fillId="0" borderId="60" xfId="0" applyNumberFormat="1" applyFont="1" applyBorder="1" applyAlignment="1">
      <alignment horizontal="center" vertical="center"/>
    </xf>
    <xf numFmtId="0" fontId="3" fillId="0" borderId="61" xfId="0" applyFont="1" applyBorder="1"/>
    <xf numFmtId="0" fontId="3" fillId="0" borderId="62" xfId="0" applyFont="1" applyBorder="1"/>
    <xf numFmtId="40" fontId="2" fillId="3" borderId="21" xfId="0" applyNumberFormat="1" applyFont="1" applyFill="1" applyBorder="1" applyAlignment="1">
      <alignment horizontal="center" vertical="center"/>
    </xf>
    <xf numFmtId="0" fontId="3" fillId="0" borderId="22" xfId="0" applyFont="1" applyBorder="1"/>
    <xf numFmtId="164" fontId="2" fillId="2" borderId="26" xfId="0" applyNumberFormat="1" applyFont="1" applyFill="1" applyBorder="1" applyAlignment="1">
      <alignment horizontal="center" vertical="center"/>
    </xf>
    <xf numFmtId="0" fontId="3" fillId="0" borderId="27" xfId="0" applyFont="1" applyBorder="1"/>
    <xf numFmtId="40" fontId="2" fillId="3" borderId="30" xfId="0" applyNumberFormat="1" applyFont="1" applyFill="1" applyBorder="1" applyAlignment="1">
      <alignment horizontal="center" vertical="center"/>
    </xf>
    <xf numFmtId="0" fontId="3" fillId="0" borderId="31" xfId="0" applyFont="1" applyBorder="1"/>
    <xf numFmtId="0" fontId="3" fillId="0" borderId="32" xfId="0" applyFont="1" applyBorder="1"/>
    <xf numFmtId="40" fontId="2" fillId="3" borderId="33" xfId="0" applyNumberFormat="1" applyFont="1" applyFill="1" applyBorder="1" applyAlignment="1">
      <alignment horizontal="center" vertical="center"/>
    </xf>
    <xf numFmtId="0" fontId="3" fillId="0" borderId="34" xfId="0" applyFont="1" applyBorder="1"/>
    <xf numFmtId="40" fontId="1" fillId="0" borderId="35" xfId="0" applyNumberFormat="1" applyFont="1" applyBorder="1" applyAlignment="1">
      <alignment horizontal="center" vertical="center"/>
    </xf>
    <xf numFmtId="40" fontId="2" fillId="3" borderId="36" xfId="0" applyNumberFormat="1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40" xfId="0" applyFont="1" applyBorder="1"/>
    <xf numFmtId="170" fontId="6" fillId="0" borderId="37" xfId="0" applyNumberFormat="1" applyFont="1" applyBorder="1" applyAlignment="1">
      <alignment horizontal="center" vertical="center"/>
    </xf>
    <xf numFmtId="0" fontId="3" fillId="0" borderId="39" xfId="0" applyFont="1" applyBorder="1"/>
    <xf numFmtId="40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612588</xdr:colOff>
      <xdr:row>0</xdr:row>
      <xdr:rowOff>74705</xdr:rowOff>
    </xdr:from>
    <xdr:to>
      <xdr:col>0</xdr:col>
      <xdr:colOff>2002117</xdr:colOff>
      <xdr:row>5</xdr:row>
      <xdr:rowOff>147476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A3C9D5D0-18B9-4836-B549-C0B29A97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588" y="74705"/>
          <a:ext cx="1389529" cy="10439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715"/>
  <sheetViews>
    <sheetView tabSelected="1" zoomScale="85" zoomScaleNormal="85" workbookViewId="0">
      <selection activeCell="H11" sqref="H11"/>
    </sheetView>
  </sheetViews>
  <sheetFormatPr baseColWidth="10" defaultColWidth="12.58203125" defaultRowHeight="15" customHeight="1"/>
  <cols>
    <col min="1" max="1" width="32.33203125" customWidth="1"/>
    <col min="2" max="2" width="16.58203125" customWidth="1"/>
    <col min="3" max="3" width="16.83203125" customWidth="1"/>
    <col min="4" max="4" width="17.25" customWidth="1"/>
    <col min="5" max="7" width="14.08203125" customWidth="1"/>
    <col min="8" max="8" width="13.75" customWidth="1"/>
    <col min="9" max="9" width="13.33203125" customWidth="1"/>
    <col min="10" max="10" width="14.08203125" customWidth="1"/>
    <col min="11" max="11" width="16.58203125" customWidth="1"/>
    <col min="12" max="12" width="12.75" customWidth="1"/>
    <col min="13" max="13" width="13.25" customWidth="1"/>
    <col min="14" max="14" width="12.33203125" customWidth="1"/>
    <col min="15" max="15" width="8.58203125" customWidth="1"/>
  </cols>
  <sheetData>
    <row r="1" spans="1:15" ht="15" customHeight="1">
      <c r="A1" s="290"/>
      <c r="B1" s="297" t="s">
        <v>343</v>
      </c>
      <c r="C1" s="298"/>
      <c r="D1" s="298"/>
      <c r="E1" s="298"/>
      <c r="F1" s="298"/>
      <c r="G1" s="298"/>
      <c r="H1" s="299"/>
      <c r="I1" s="293" t="s">
        <v>347</v>
      </c>
      <c r="J1" s="294"/>
    </row>
    <row r="2" spans="1:15" ht="15" customHeight="1" thickBot="1">
      <c r="A2" s="291"/>
      <c r="B2" s="300"/>
      <c r="C2" s="301"/>
      <c r="D2" s="301"/>
      <c r="E2" s="301"/>
      <c r="F2" s="301"/>
      <c r="G2" s="301"/>
      <c r="H2" s="302"/>
      <c r="I2" s="295"/>
      <c r="J2" s="296"/>
    </row>
    <row r="3" spans="1:15" ht="15" customHeight="1">
      <c r="A3" s="291"/>
      <c r="B3" s="303" t="s">
        <v>344</v>
      </c>
      <c r="C3" s="298"/>
      <c r="D3" s="298"/>
      <c r="E3" s="298"/>
      <c r="F3" s="298"/>
      <c r="G3" s="298"/>
      <c r="H3" s="299"/>
      <c r="I3" s="293" t="s">
        <v>346</v>
      </c>
      <c r="J3" s="294"/>
    </row>
    <row r="4" spans="1:15" ht="15" customHeight="1" thickBot="1">
      <c r="A4" s="291"/>
      <c r="B4" s="304"/>
      <c r="C4" s="305"/>
      <c r="D4" s="305"/>
      <c r="E4" s="305"/>
      <c r="F4" s="305"/>
      <c r="G4" s="305"/>
      <c r="H4" s="306"/>
      <c r="I4" s="295"/>
      <c r="J4" s="296"/>
    </row>
    <row r="5" spans="1:15" ht="15" customHeight="1">
      <c r="A5" s="291"/>
      <c r="B5" s="304"/>
      <c r="C5" s="305"/>
      <c r="D5" s="305"/>
      <c r="E5" s="305"/>
      <c r="F5" s="305"/>
      <c r="G5" s="305"/>
      <c r="H5" s="306"/>
      <c r="I5" s="293" t="s">
        <v>345</v>
      </c>
      <c r="J5" s="294"/>
    </row>
    <row r="6" spans="1:15" ht="15" customHeight="1" thickBot="1">
      <c r="A6" s="292"/>
      <c r="B6" s="300"/>
      <c r="C6" s="301"/>
      <c r="D6" s="301"/>
      <c r="E6" s="301"/>
      <c r="F6" s="301"/>
      <c r="G6" s="301"/>
      <c r="H6" s="302"/>
      <c r="I6" s="295"/>
      <c r="J6" s="296"/>
    </row>
    <row r="7" spans="1:15" ht="7.5" customHeight="1" thickBot="1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1"/>
      <c r="L7" s="1"/>
      <c r="M7" s="1"/>
      <c r="N7" s="1"/>
      <c r="O7" s="1"/>
    </row>
    <row r="8" spans="1:15" ht="14.25" customHeight="1" thickBot="1">
      <c r="A8" s="318" t="s">
        <v>323</v>
      </c>
      <c r="B8" s="319"/>
      <c r="C8" s="319"/>
      <c r="D8" s="319"/>
      <c r="E8" s="319"/>
      <c r="F8" s="319"/>
      <c r="G8" s="320"/>
      <c r="H8" s="282"/>
      <c r="I8" s="282"/>
      <c r="J8" s="283"/>
      <c r="K8" s="1"/>
      <c r="L8" s="1"/>
      <c r="M8" s="1"/>
      <c r="N8" s="1"/>
      <c r="O8" s="1"/>
    </row>
    <row r="9" spans="1:15" ht="16.5" customHeight="1" thickBot="1">
      <c r="A9" s="318" t="s">
        <v>341</v>
      </c>
      <c r="B9" s="319"/>
      <c r="C9" s="319"/>
      <c r="D9" s="319"/>
      <c r="E9" s="319"/>
      <c r="F9" s="319"/>
      <c r="G9" s="320"/>
      <c r="H9" s="276"/>
      <c r="I9" s="276"/>
      <c r="J9" s="284"/>
      <c r="K9" s="1"/>
      <c r="L9" s="1"/>
      <c r="M9" s="1"/>
      <c r="N9" s="1"/>
      <c r="O9" s="1"/>
    </row>
    <row r="10" spans="1:15" ht="16.5" customHeight="1">
      <c r="A10" s="253" t="s">
        <v>0</v>
      </c>
      <c r="B10" s="321" t="s">
        <v>1</v>
      </c>
      <c r="C10" s="322"/>
      <c r="D10" s="253" t="s">
        <v>2</v>
      </c>
      <c r="E10" s="254"/>
      <c r="F10" s="254"/>
      <c r="G10" s="255"/>
      <c r="H10" s="276"/>
      <c r="I10" s="276"/>
      <c r="J10" s="284"/>
      <c r="K10" s="1"/>
      <c r="L10" s="1"/>
      <c r="M10" s="1"/>
      <c r="N10" s="1"/>
      <c r="O10" s="1"/>
    </row>
    <row r="11" spans="1:15" ht="16.5" customHeight="1" thickBot="1">
      <c r="A11" s="244"/>
      <c r="B11" s="323"/>
      <c r="C11" s="324"/>
      <c r="D11" s="245"/>
      <c r="E11" s="257"/>
      <c r="F11" s="256"/>
      <c r="G11" s="258"/>
      <c r="H11" s="276"/>
      <c r="I11" s="276"/>
      <c r="J11" s="284"/>
      <c r="K11" s="1"/>
      <c r="L11" s="1"/>
      <c r="M11" s="1"/>
      <c r="N11" s="1"/>
      <c r="O11" s="1"/>
    </row>
    <row r="12" spans="1:15" ht="16.5" customHeight="1">
      <c r="A12" s="325" t="s">
        <v>3</v>
      </c>
      <c r="B12" s="326"/>
      <c r="C12" s="326"/>
      <c r="D12" s="326"/>
      <c r="E12" s="327" t="s">
        <v>337</v>
      </c>
      <c r="F12" s="328"/>
      <c r="G12" s="329"/>
      <c r="H12" s="276"/>
      <c r="I12" s="276"/>
      <c r="J12" s="285"/>
      <c r="K12" s="1"/>
      <c r="L12" s="1"/>
      <c r="M12" s="1"/>
      <c r="N12" s="1"/>
      <c r="O12" s="1"/>
    </row>
    <row r="13" spans="1:15" ht="14.25" customHeight="1">
      <c r="A13" s="246" t="s">
        <v>4</v>
      </c>
      <c r="B13" s="241" t="s">
        <v>324</v>
      </c>
      <c r="C13" s="241" t="s">
        <v>325</v>
      </c>
      <c r="D13" s="241" t="s">
        <v>326</v>
      </c>
      <c r="E13" s="249" t="s">
        <v>331</v>
      </c>
      <c r="F13" s="8" t="s">
        <v>332</v>
      </c>
      <c r="G13" s="250" t="s">
        <v>333</v>
      </c>
      <c r="H13" s="276"/>
      <c r="I13" s="276"/>
      <c r="J13" s="284"/>
      <c r="K13" s="1"/>
      <c r="L13" s="1"/>
      <c r="M13" s="1"/>
      <c r="N13" s="1"/>
      <c r="O13" s="1"/>
    </row>
    <row r="14" spans="1:15" ht="22.5" customHeight="1">
      <c r="A14" s="247" t="s">
        <v>49</v>
      </c>
      <c r="B14" s="242" t="s">
        <v>327</v>
      </c>
      <c r="C14" s="242" t="s">
        <v>328</v>
      </c>
      <c r="D14" s="242" t="s">
        <v>329</v>
      </c>
      <c r="E14" s="249" t="s">
        <v>334</v>
      </c>
      <c r="F14" s="8" t="s">
        <v>335</v>
      </c>
      <c r="G14" s="250" t="s">
        <v>336</v>
      </c>
      <c r="H14" s="276"/>
      <c r="I14" s="276"/>
      <c r="J14" s="284"/>
      <c r="K14" s="1"/>
      <c r="L14" s="1"/>
      <c r="M14" s="1"/>
      <c r="N14" s="1"/>
      <c r="O14" s="1"/>
    </row>
    <row r="15" spans="1:15" ht="14.25" customHeight="1">
      <c r="A15" s="259" t="s">
        <v>330</v>
      </c>
      <c r="B15" s="243">
        <v>0</v>
      </c>
      <c r="C15" s="243">
        <v>0</v>
      </c>
      <c r="D15" s="243">
        <v>0</v>
      </c>
      <c r="E15" s="251">
        <v>0</v>
      </c>
      <c r="F15" s="240">
        <v>0</v>
      </c>
      <c r="G15" s="252">
        <v>0</v>
      </c>
      <c r="H15" s="276"/>
      <c r="I15" s="276"/>
      <c r="J15" s="284"/>
      <c r="K15" s="1"/>
      <c r="L15" s="1"/>
      <c r="M15" s="1"/>
      <c r="N15" s="1"/>
      <c r="O15" s="1"/>
    </row>
    <row r="16" spans="1:15" ht="14.25" customHeight="1" thickBot="1">
      <c r="A16" s="248" t="s">
        <v>6</v>
      </c>
      <c r="B16" s="307" t="s">
        <v>340</v>
      </c>
      <c r="C16" s="308"/>
      <c r="D16" s="308"/>
      <c r="E16" s="315" t="s">
        <v>338</v>
      </c>
      <c r="F16" s="316"/>
      <c r="G16" s="317"/>
      <c r="H16" s="286"/>
      <c r="I16" s="287"/>
      <c r="J16" s="288"/>
      <c r="K16" s="1"/>
      <c r="L16" s="1"/>
      <c r="M16" s="1"/>
      <c r="N16" s="1"/>
      <c r="O16" s="1"/>
    </row>
    <row r="17" spans="1:18" ht="29.25" customHeight="1" thickBot="1">
      <c r="A17" s="260" t="s">
        <v>7</v>
      </c>
      <c r="B17" s="309" t="s">
        <v>339</v>
      </c>
      <c r="C17" s="310"/>
      <c r="D17" s="310"/>
      <c r="E17" s="310"/>
      <c r="F17" s="310"/>
      <c r="G17" s="311"/>
      <c r="H17" s="270" t="s">
        <v>342</v>
      </c>
      <c r="I17" s="271" t="s">
        <v>9</v>
      </c>
      <c r="J17" s="272" t="s">
        <v>10</v>
      </c>
      <c r="K17" s="1"/>
      <c r="L17" s="1"/>
      <c r="M17" s="1"/>
      <c r="N17" s="1"/>
      <c r="O17" s="1"/>
    </row>
    <row r="18" spans="1:18" ht="14.25" customHeight="1">
      <c r="A18" s="262" t="s">
        <v>22</v>
      </c>
      <c r="B18" s="263">
        <v>0</v>
      </c>
      <c r="C18" s="263">
        <v>0</v>
      </c>
      <c r="D18" s="263">
        <v>0</v>
      </c>
      <c r="E18" s="264">
        <v>0</v>
      </c>
      <c r="F18" s="264">
        <v>0</v>
      </c>
      <c r="G18" s="264">
        <v>0</v>
      </c>
      <c r="H18" s="263">
        <f>B18+C18+D18+E18+F18+G18</f>
        <v>0</v>
      </c>
      <c r="I18" s="263">
        <f>H18</f>
        <v>0</v>
      </c>
      <c r="J18" s="265"/>
      <c r="K18" s="1"/>
      <c r="L18" s="1"/>
      <c r="M18" s="1"/>
      <c r="N18" s="1"/>
      <c r="O18" s="1"/>
    </row>
    <row r="19" spans="1:18" ht="14.25" customHeight="1">
      <c r="A19" s="266" t="s">
        <v>200</v>
      </c>
      <c r="B19" s="14">
        <v>0</v>
      </c>
      <c r="C19" s="14">
        <v>0</v>
      </c>
      <c r="D19" s="14">
        <v>0</v>
      </c>
      <c r="E19" s="10">
        <v>0</v>
      </c>
      <c r="F19" s="10">
        <v>0</v>
      </c>
      <c r="G19" s="10">
        <v>0</v>
      </c>
      <c r="H19" s="14">
        <f>B19+C19+D19++E19+F19+G19</f>
        <v>0</v>
      </c>
      <c r="I19" s="14">
        <f t="shared" ref="I19:I24" si="0">I18+H19</f>
        <v>0</v>
      </c>
      <c r="J19" s="267"/>
      <c r="K19" s="1"/>
      <c r="L19" s="1"/>
      <c r="M19" s="1"/>
      <c r="N19" s="1"/>
      <c r="O19" s="1"/>
    </row>
    <row r="20" spans="1:18" ht="14.25" customHeight="1">
      <c r="A20" s="266" t="s">
        <v>24</v>
      </c>
      <c r="B20" s="14">
        <v>0</v>
      </c>
      <c r="C20" s="14">
        <v>0</v>
      </c>
      <c r="D20" s="14">
        <v>0</v>
      </c>
      <c r="E20" s="10">
        <v>0</v>
      </c>
      <c r="F20" s="10">
        <v>0</v>
      </c>
      <c r="G20" s="10">
        <v>0</v>
      </c>
      <c r="H20" s="14">
        <f t="shared" ref="H20:H27" si="1">B20+C20+D20+E20+F20+G20</f>
        <v>0</v>
      </c>
      <c r="I20" s="14">
        <f t="shared" si="0"/>
        <v>0</v>
      </c>
      <c r="J20" s="267"/>
      <c r="K20" s="1"/>
      <c r="L20" s="1"/>
      <c r="M20" s="1"/>
      <c r="N20" s="1"/>
      <c r="O20" s="1"/>
    </row>
    <row r="21" spans="1:18" ht="14.25" customHeight="1">
      <c r="A21" s="266" t="s">
        <v>25</v>
      </c>
      <c r="B21" s="14">
        <v>0</v>
      </c>
      <c r="C21" s="14">
        <v>0</v>
      </c>
      <c r="D21" s="14">
        <v>0</v>
      </c>
      <c r="E21" s="10">
        <v>0</v>
      </c>
      <c r="F21" s="10">
        <v>0</v>
      </c>
      <c r="G21" s="10">
        <v>0</v>
      </c>
      <c r="H21" s="14">
        <f t="shared" si="1"/>
        <v>0</v>
      </c>
      <c r="I21" s="14">
        <f t="shared" si="0"/>
        <v>0</v>
      </c>
      <c r="J21" s="267"/>
      <c r="K21" s="1"/>
      <c r="L21" s="1"/>
      <c r="M21" s="1"/>
      <c r="N21" s="1"/>
      <c r="O21" s="1"/>
    </row>
    <row r="22" spans="1:18" ht="14.25" customHeight="1">
      <c r="A22" s="266" t="s">
        <v>26</v>
      </c>
      <c r="B22" s="14">
        <v>0</v>
      </c>
      <c r="C22" s="14">
        <v>0</v>
      </c>
      <c r="D22" s="14">
        <v>0</v>
      </c>
      <c r="E22" s="10">
        <v>0</v>
      </c>
      <c r="F22" s="10">
        <v>0</v>
      </c>
      <c r="G22" s="10">
        <v>0</v>
      </c>
      <c r="H22" s="34">
        <f t="shared" si="1"/>
        <v>0</v>
      </c>
      <c r="I22" s="14">
        <f t="shared" si="0"/>
        <v>0</v>
      </c>
      <c r="J22" s="267"/>
      <c r="K22" s="1"/>
      <c r="L22" s="1"/>
      <c r="M22" s="1"/>
      <c r="N22" s="1"/>
      <c r="O22" s="1"/>
    </row>
    <row r="23" spans="1:18" ht="14.25" customHeight="1">
      <c r="A23" s="266" t="s">
        <v>27</v>
      </c>
      <c r="B23" s="14">
        <v>0</v>
      </c>
      <c r="C23" s="14">
        <v>0</v>
      </c>
      <c r="D23" s="14">
        <v>0</v>
      </c>
      <c r="E23" s="10">
        <v>0</v>
      </c>
      <c r="F23" s="10">
        <v>0</v>
      </c>
      <c r="G23" s="10">
        <v>0</v>
      </c>
      <c r="H23" s="14">
        <f t="shared" si="1"/>
        <v>0</v>
      </c>
      <c r="I23" s="14">
        <f t="shared" si="0"/>
        <v>0</v>
      </c>
      <c r="J23" s="267"/>
      <c r="K23" s="1"/>
      <c r="L23" s="1"/>
      <c r="M23" s="1"/>
      <c r="N23" s="1"/>
      <c r="O23" s="1"/>
    </row>
    <row r="24" spans="1:18" ht="14.25" customHeight="1">
      <c r="A24" s="266" t="s">
        <v>28</v>
      </c>
      <c r="B24" s="14"/>
      <c r="C24" s="22"/>
      <c r="D24" s="14"/>
      <c r="E24" s="10"/>
      <c r="F24" s="10"/>
      <c r="G24" s="10"/>
      <c r="H24" s="14">
        <f t="shared" si="1"/>
        <v>0</v>
      </c>
      <c r="I24" s="14">
        <f t="shared" si="0"/>
        <v>0</v>
      </c>
      <c r="J24" s="267"/>
      <c r="K24" s="1"/>
      <c r="L24" s="1"/>
      <c r="M24" s="1"/>
      <c r="N24" s="1"/>
      <c r="O24" s="1"/>
      <c r="P24" s="16"/>
      <c r="Q24" s="16"/>
      <c r="R24" s="16"/>
    </row>
    <row r="25" spans="1:18" ht="14.25" customHeight="1" thickBot="1">
      <c r="A25" s="273"/>
      <c r="B25" s="274"/>
      <c r="C25" s="274"/>
      <c r="D25" s="274"/>
      <c r="E25" s="275"/>
      <c r="F25" s="275"/>
      <c r="G25" s="275"/>
      <c r="H25" s="274">
        <f t="shared" si="1"/>
        <v>0</v>
      </c>
      <c r="I25" s="268"/>
      <c r="J25" s="269"/>
      <c r="K25" s="1"/>
      <c r="L25" s="1"/>
      <c r="M25" s="1"/>
      <c r="N25" s="1"/>
      <c r="O25" s="1"/>
    </row>
    <row r="26" spans="1:18" ht="14.25" customHeight="1" thickBot="1">
      <c r="A26" s="277" t="s">
        <v>11</v>
      </c>
      <c r="B26" s="278">
        <f t="shared" ref="B26:G26" si="2">SUM(B18:B25)</f>
        <v>0</v>
      </c>
      <c r="C26" s="278">
        <f t="shared" si="2"/>
        <v>0</v>
      </c>
      <c r="D26" s="278">
        <f t="shared" si="2"/>
        <v>0</v>
      </c>
      <c r="E26" s="278">
        <f t="shared" si="2"/>
        <v>0</v>
      </c>
      <c r="F26" s="278">
        <f t="shared" si="2"/>
        <v>0</v>
      </c>
      <c r="G26" s="278">
        <f t="shared" si="2"/>
        <v>0</v>
      </c>
      <c r="H26" s="279">
        <f t="shared" si="1"/>
        <v>0</v>
      </c>
      <c r="I26" s="261"/>
      <c r="J26" s="261"/>
      <c r="K26" s="1"/>
      <c r="L26" s="1"/>
      <c r="M26" s="1"/>
      <c r="N26" s="1"/>
      <c r="O26" s="1"/>
    </row>
    <row r="27" spans="1:18" ht="14.25" customHeight="1" thickBot="1">
      <c r="A27" s="277" t="s">
        <v>12</v>
      </c>
      <c r="B27" s="278">
        <f t="shared" ref="B27:G27" si="3">B15-B26</f>
        <v>0</v>
      </c>
      <c r="C27" s="278">
        <f t="shared" si="3"/>
        <v>0</v>
      </c>
      <c r="D27" s="278">
        <f t="shared" si="3"/>
        <v>0</v>
      </c>
      <c r="E27" s="278">
        <f t="shared" si="3"/>
        <v>0</v>
      </c>
      <c r="F27" s="278">
        <f t="shared" si="3"/>
        <v>0</v>
      </c>
      <c r="G27" s="278">
        <f t="shared" si="3"/>
        <v>0</v>
      </c>
      <c r="H27" s="279">
        <f t="shared" si="1"/>
        <v>0</v>
      </c>
      <c r="I27" s="12"/>
      <c r="J27" s="12"/>
      <c r="K27" s="17"/>
      <c r="L27" s="1"/>
      <c r="M27" s="1"/>
      <c r="N27" s="1"/>
      <c r="O27" s="1"/>
    </row>
    <row r="28" spans="1:18" ht="14.25" customHeight="1" thickBot="1">
      <c r="A28" s="280" t="s">
        <v>13</v>
      </c>
      <c r="B28" s="312">
        <f>B27+C27+D27+E27+F27+G27</f>
        <v>0</v>
      </c>
      <c r="C28" s="313"/>
      <c r="D28" s="313"/>
      <c r="E28" s="313"/>
      <c r="F28" s="313"/>
      <c r="G28" s="314"/>
      <c r="H28" s="281"/>
      <c r="I28" s="1"/>
      <c r="J28" s="1"/>
      <c r="K28" s="12"/>
      <c r="L28" s="1"/>
      <c r="M28" s="1"/>
      <c r="N28" s="1"/>
      <c r="O28" s="1"/>
    </row>
    <row r="29" spans="1:18" ht="14.25" customHeight="1">
      <c r="A29" s="276"/>
      <c r="B29" s="276"/>
      <c r="C29" s="276"/>
      <c r="D29" s="276"/>
      <c r="E29" s="276"/>
      <c r="F29" s="276"/>
      <c r="G29" s="276"/>
      <c r="H29" s="276"/>
      <c r="I29" s="1"/>
      <c r="J29" s="1"/>
      <c r="K29" s="1"/>
      <c r="L29" s="1"/>
      <c r="M29" s="1"/>
      <c r="N29" s="1"/>
      <c r="O29" s="1"/>
    </row>
    <row r="30" spans="1:18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8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8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</sheetData>
  <mergeCells count="17">
    <mergeCell ref="B16:D16"/>
    <mergeCell ref="B17:G17"/>
    <mergeCell ref="B28:G28"/>
    <mergeCell ref="E16:G16"/>
    <mergeCell ref="A8:G8"/>
    <mergeCell ref="A9:G9"/>
    <mergeCell ref="B10:C10"/>
    <mergeCell ref="B11:C11"/>
    <mergeCell ref="A12:D12"/>
    <mergeCell ref="E12:G12"/>
    <mergeCell ref="A7:J7"/>
    <mergeCell ref="A1:A6"/>
    <mergeCell ref="I1:J2"/>
    <mergeCell ref="I3:J4"/>
    <mergeCell ref="I5:J6"/>
    <mergeCell ref="B1:H2"/>
    <mergeCell ref="B3:H6"/>
  </mergeCell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R935"/>
  <sheetViews>
    <sheetView workbookViewId="0"/>
  </sheetViews>
  <sheetFormatPr baseColWidth="10" defaultColWidth="12.58203125" defaultRowHeight="15" customHeight="1"/>
  <cols>
    <col min="1" max="1" width="31.75" customWidth="1"/>
    <col min="2" max="2" width="19.33203125" customWidth="1"/>
    <col min="3" max="3" width="16.58203125" customWidth="1"/>
    <col min="4" max="4" width="17.83203125" customWidth="1"/>
    <col min="5" max="5" width="16" customWidth="1"/>
    <col min="6" max="6" width="14" customWidth="1"/>
    <col min="7" max="7" width="16.08203125" customWidth="1"/>
    <col min="8" max="8" width="8.58203125" customWidth="1"/>
    <col min="9" max="9" width="17.83203125" customWidth="1"/>
    <col min="10" max="10" width="8.58203125" customWidth="1"/>
    <col min="11" max="11" width="14.08203125" customWidth="1"/>
    <col min="12" max="12" width="12.25" customWidth="1"/>
    <col min="13" max="18" width="8.58203125" customWidth="1"/>
  </cols>
  <sheetData>
    <row r="1" spans="1:18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357" t="s">
        <v>296</v>
      </c>
      <c r="B2" s="342"/>
      <c r="C2" s="342"/>
      <c r="D2" s="342"/>
      <c r="E2" s="34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.5" customHeight="1">
      <c r="A3" s="357" t="s">
        <v>297</v>
      </c>
      <c r="B3" s="342"/>
      <c r="C3" s="342"/>
      <c r="D3" s="342"/>
      <c r="E3" s="3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2" t="s">
        <v>0</v>
      </c>
      <c r="B4" s="358" t="s">
        <v>1</v>
      </c>
      <c r="C4" s="343"/>
      <c r="D4" s="2" t="s">
        <v>107</v>
      </c>
      <c r="E4" s="9" t="s">
        <v>108</v>
      </c>
      <c r="F4" s="2" t="s">
        <v>177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6">
        <v>43951</v>
      </c>
      <c r="B5" s="359">
        <v>44195</v>
      </c>
      <c r="C5" s="343"/>
      <c r="D5" s="6">
        <v>44286</v>
      </c>
      <c r="E5" s="9">
        <v>650000000</v>
      </c>
      <c r="F5" s="6">
        <v>44295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5" customHeight="1">
      <c r="A6" s="108"/>
      <c r="B6" s="357" t="s">
        <v>5</v>
      </c>
      <c r="C6" s="342"/>
      <c r="D6" s="342"/>
      <c r="E6" s="34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customHeight="1">
      <c r="A7" s="370" t="s">
        <v>182</v>
      </c>
      <c r="B7" s="38" t="s">
        <v>14</v>
      </c>
      <c r="C7" s="38" t="s">
        <v>115</v>
      </c>
      <c r="D7" s="38" t="s">
        <v>14</v>
      </c>
      <c r="E7" s="9" t="s">
        <v>115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4.25" customHeight="1">
      <c r="A8" s="340"/>
      <c r="B8" s="33" t="s">
        <v>298</v>
      </c>
      <c r="C8" s="33" t="s">
        <v>299</v>
      </c>
      <c r="D8" s="33" t="s">
        <v>300</v>
      </c>
      <c r="E8" s="9" t="s">
        <v>301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 customHeight="1">
      <c r="A9" s="41" t="s">
        <v>5</v>
      </c>
      <c r="B9" s="13">
        <v>1175217396</v>
      </c>
      <c r="C9" s="13">
        <v>1046000000</v>
      </c>
      <c r="D9" s="13">
        <v>290000000</v>
      </c>
      <c r="E9" s="30">
        <v>650000000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4.25" customHeight="1">
      <c r="A10" s="11" t="s">
        <v>6</v>
      </c>
      <c r="B10" s="361">
        <f>+B9+C9+D9</f>
        <v>2511217396</v>
      </c>
      <c r="C10" s="342"/>
      <c r="D10" s="343"/>
      <c r="E10" s="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" customHeight="1">
      <c r="A11" s="38"/>
      <c r="B11" s="38"/>
      <c r="C11" s="38"/>
      <c r="D11" s="38"/>
      <c r="E11" s="3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 customHeight="1">
      <c r="A12" s="18" t="s">
        <v>18</v>
      </c>
      <c r="B12" s="13"/>
      <c r="C12" s="13"/>
      <c r="D12" s="13"/>
      <c r="E12" s="3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 customHeight="1">
      <c r="A13" s="11" t="s">
        <v>160</v>
      </c>
      <c r="B13" s="110">
        <f t="shared" ref="B13:D13" si="0">+B9+B12</f>
        <v>1175217396</v>
      </c>
      <c r="C13" s="110">
        <f t="shared" si="0"/>
        <v>1046000000</v>
      </c>
      <c r="D13" s="110">
        <f t="shared" si="0"/>
        <v>290000000</v>
      </c>
      <c r="E13" s="183">
        <v>650000000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4.25" customHeight="1">
      <c r="A14" s="11" t="s">
        <v>161</v>
      </c>
      <c r="B14" s="361">
        <f>B10+B12+C12+D12+E13</f>
        <v>3161217396</v>
      </c>
      <c r="C14" s="342"/>
      <c r="D14" s="342"/>
      <c r="E14" s="343"/>
      <c r="F14" s="44" t="s">
        <v>47</v>
      </c>
      <c r="G14" s="44" t="s">
        <v>48</v>
      </c>
      <c r="H14" s="1"/>
      <c r="I14" s="184"/>
      <c r="J14" s="1"/>
      <c r="K14" s="1"/>
      <c r="L14" s="1"/>
      <c r="M14" s="1"/>
      <c r="N14" s="1"/>
      <c r="O14" s="1"/>
      <c r="P14" s="1"/>
      <c r="Q14" s="1"/>
      <c r="R14" s="1"/>
    </row>
    <row r="15" spans="1:18" ht="14.25" customHeight="1">
      <c r="A15" s="13" t="s">
        <v>302</v>
      </c>
      <c r="B15" s="14"/>
      <c r="C15" s="14">
        <v>98658754</v>
      </c>
      <c r="D15" s="14">
        <v>76590349</v>
      </c>
      <c r="E15" s="10"/>
      <c r="F15" s="14">
        <f t="shared" ref="F15:F32" si="1">B15+C15+D15+E15</f>
        <v>175249103</v>
      </c>
      <c r="G15" s="15">
        <f>F15/B14</f>
        <v>5.5437219604620953E-2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4.25" customHeight="1">
      <c r="A16" s="13" t="s">
        <v>303</v>
      </c>
      <c r="B16" s="14"/>
      <c r="C16" s="14">
        <v>475419</v>
      </c>
      <c r="D16" s="14">
        <f>725639-C16</f>
        <v>250220</v>
      </c>
      <c r="E16" s="10"/>
      <c r="F16" s="14">
        <f t="shared" si="1"/>
        <v>725639</v>
      </c>
      <c r="G16" s="15">
        <f>(F16/B$14)+G15</f>
        <v>5.5666763767233174E-2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25" customHeight="1">
      <c r="A17" s="13" t="s">
        <v>304</v>
      </c>
      <c r="B17" s="14"/>
      <c r="C17" s="14">
        <v>155921878</v>
      </c>
      <c r="D17" s="14">
        <v>141935926</v>
      </c>
      <c r="E17" s="10"/>
      <c r="F17" s="14">
        <f t="shared" si="1"/>
        <v>297857804</v>
      </c>
      <c r="G17" s="15">
        <f>(F17/B$14)+G15</f>
        <v>0.14965971894202496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4.25" customHeight="1">
      <c r="A18" s="13" t="s">
        <v>305</v>
      </c>
      <c r="B18" s="14">
        <v>50904010</v>
      </c>
      <c r="C18" s="14">
        <v>147497886</v>
      </c>
      <c r="D18" s="14">
        <v>71223505</v>
      </c>
      <c r="E18" s="10"/>
      <c r="F18" s="14">
        <f t="shared" si="1"/>
        <v>269625401</v>
      </c>
      <c r="G18" s="15">
        <f t="shared" ref="G18:G31" si="2">(F18/B$14)+G17</f>
        <v>0.23495135416495094</v>
      </c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4.25" customHeight="1">
      <c r="A19" s="13" t="s">
        <v>306</v>
      </c>
      <c r="B19" s="14">
        <v>121783334</v>
      </c>
      <c r="C19" s="14">
        <v>150651276</v>
      </c>
      <c r="D19" s="383"/>
      <c r="E19" s="10"/>
      <c r="F19" s="14">
        <f t="shared" si="1"/>
        <v>272434610</v>
      </c>
      <c r="G19" s="15">
        <f t="shared" si="2"/>
        <v>0.32113163722448401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4.25" customHeight="1">
      <c r="A20" s="13" t="s">
        <v>307</v>
      </c>
      <c r="B20" s="14">
        <v>124543103</v>
      </c>
      <c r="C20" s="14">
        <v>153455062</v>
      </c>
      <c r="D20" s="339"/>
      <c r="E20" s="10"/>
      <c r="F20" s="14">
        <f t="shared" si="1"/>
        <v>277998165</v>
      </c>
      <c r="G20" s="15">
        <f t="shared" si="2"/>
        <v>0.40907186093442593</v>
      </c>
      <c r="H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4.25" customHeight="1">
      <c r="A21" s="13" t="s">
        <v>308</v>
      </c>
      <c r="B21" s="14">
        <v>132352200</v>
      </c>
      <c r="C21" s="14">
        <v>160693235</v>
      </c>
      <c r="D21" s="339"/>
      <c r="E21" s="10"/>
      <c r="F21" s="14">
        <f t="shared" si="1"/>
        <v>293045435</v>
      </c>
      <c r="G21" s="15">
        <f t="shared" si="2"/>
        <v>0.50177204516433704</v>
      </c>
      <c r="H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4.25" customHeight="1">
      <c r="A22" s="13" t="s">
        <v>309</v>
      </c>
      <c r="B22" s="14">
        <f>292719793-C22</f>
        <v>130288646</v>
      </c>
      <c r="C22" s="14">
        <v>162431147</v>
      </c>
      <c r="D22" s="339"/>
      <c r="E22" s="10"/>
      <c r="F22" s="14">
        <f t="shared" si="1"/>
        <v>292719793</v>
      </c>
      <c r="G22" s="15">
        <f t="shared" si="2"/>
        <v>0.59436921781383234</v>
      </c>
      <c r="H22" s="1"/>
      <c r="K22" s="1"/>
      <c r="L22" s="1"/>
      <c r="M22" s="1"/>
      <c r="N22" s="1"/>
      <c r="O22" s="1"/>
      <c r="P22" s="1"/>
      <c r="Q22" s="1"/>
      <c r="R22" s="1"/>
    </row>
    <row r="23" spans="1:18" ht="14.25" customHeight="1">
      <c r="A23" s="13" t="s">
        <v>310</v>
      </c>
      <c r="B23" s="34">
        <v>129572721</v>
      </c>
      <c r="C23" s="34">
        <v>16215343</v>
      </c>
      <c r="D23" s="339"/>
      <c r="E23" s="10">
        <v>145788063</v>
      </c>
      <c r="F23" s="14">
        <f t="shared" si="1"/>
        <v>291576127</v>
      </c>
      <c r="G23" s="15">
        <f t="shared" si="2"/>
        <v>0.68660461021960029</v>
      </c>
      <c r="H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 customHeight="1">
      <c r="A24" s="13" t="s">
        <v>311</v>
      </c>
      <c r="B24" s="34">
        <v>149578181</v>
      </c>
      <c r="C24" s="383"/>
      <c r="D24" s="339"/>
      <c r="E24" s="10">
        <v>149578181</v>
      </c>
      <c r="F24" s="14">
        <f t="shared" si="1"/>
        <v>299156362</v>
      </c>
      <c r="G24" s="15">
        <f t="shared" si="2"/>
        <v>0.78123788738001743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4.25" customHeight="1">
      <c r="A25" s="13" t="s">
        <v>312</v>
      </c>
      <c r="B25" s="34">
        <v>147196463</v>
      </c>
      <c r="C25" s="339"/>
      <c r="D25" s="339"/>
      <c r="E25" s="10">
        <v>147196464</v>
      </c>
      <c r="F25" s="14">
        <f t="shared" si="1"/>
        <v>294392927</v>
      </c>
      <c r="G25" s="15">
        <f t="shared" si="2"/>
        <v>0.87436432891248073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4.25" customHeight="1">
      <c r="A26" s="13" t="s">
        <v>313</v>
      </c>
      <c r="B26" s="34">
        <v>144427762</v>
      </c>
      <c r="C26" s="339"/>
      <c r="D26" s="339"/>
      <c r="E26" s="10">
        <v>144427762</v>
      </c>
      <c r="F26" s="14">
        <f t="shared" si="1"/>
        <v>288855524</v>
      </c>
      <c r="G26" s="15">
        <f t="shared" si="2"/>
        <v>0.96573910255680495</v>
      </c>
      <c r="H26" s="1"/>
      <c r="I26" s="12"/>
      <c r="J26" s="1"/>
      <c r="K26" s="1"/>
      <c r="L26" s="1"/>
      <c r="M26" s="1"/>
      <c r="N26" s="1"/>
      <c r="O26" s="1"/>
      <c r="P26" s="1"/>
      <c r="Q26" s="1"/>
      <c r="R26" s="1"/>
    </row>
    <row r="27" spans="1:18" ht="14.25" customHeight="1">
      <c r="A27" s="13" t="s">
        <v>314</v>
      </c>
      <c r="B27" s="34">
        <v>44570976</v>
      </c>
      <c r="C27" s="339"/>
      <c r="D27" s="339"/>
      <c r="E27" s="10">
        <v>37703610</v>
      </c>
      <c r="F27" s="14">
        <f t="shared" si="1"/>
        <v>82274586</v>
      </c>
      <c r="G27" s="15">
        <f t="shared" si="2"/>
        <v>0.99176533729286109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>
      <c r="A28" s="13"/>
      <c r="B28" s="34"/>
      <c r="C28" s="339"/>
      <c r="D28" s="339"/>
      <c r="E28" s="10"/>
      <c r="F28" s="14">
        <f t="shared" si="1"/>
        <v>0</v>
      </c>
      <c r="G28" s="15">
        <f t="shared" si="2"/>
        <v>0.99176533729286109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4.25" customHeight="1">
      <c r="A29" s="13"/>
      <c r="B29" s="14"/>
      <c r="C29" s="339"/>
      <c r="D29" s="339"/>
      <c r="E29" s="10"/>
      <c r="F29" s="14">
        <f t="shared" si="1"/>
        <v>0</v>
      </c>
      <c r="G29" s="15">
        <f t="shared" si="2"/>
        <v>0.99176533729286109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4.25" customHeight="1">
      <c r="A30" s="13"/>
      <c r="B30" s="14"/>
      <c r="C30" s="339"/>
      <c r="D30" s="339"/>
      <c r="E30" s="10"/>
      <c r="F30" s="14">
        <f t="shared" si="1"/>
        <v>0</v>
      </c>
      <c r="G30" s="15">
        <f t="shared" si="2"/>
        <v>0.99176533729286109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4.25" customHeight="1">
      <c r="A31" s="13"/>
      <c r="B31" s="14"/>
      <c r="C31" s="340"/>
      <c r="D31" s="340"/>
      <c r="E31" s="30"/>
      <c r="F31" s="14">
        <f t="shared" si="1"/>
        <v>0</v>
      </c>
      <c r="G31" s="15">
        <f t="shared" si="2"/>
        <v>0.99176533729286109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4.25" customHeight="1">
      <c r="A32" s="18" t="s">
        <v>11</v>
      </c>
      <c r="B32" s="28">
        <f>SUM(B15:B27)</f>
        <v>1175217396</v>
      </c>
      <c r="C32" s="28">
        <f t="shared" ref="C32:E32" si="3">SUM(C15:C31)</f>
        <v>1046000000</v>
      </c>
      <c r="D32" s="28">
        <f t="shared" si="3"/>
        <v>290000000</v>
      </c>
      <c r="E32" s="29">
        <f t="shared" si="3"/>
        <v>624694080</v>
      </c>
      <c r="F32" s="14">
        <f t="shared" si="1"/>
        <v>3135911476</v>
      </c>
      <c r="G32" s="15">
        <f>F32/B14</f>
        <v>0.99199488145547332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4.25" customHeight="1">
      <c r="A33" s="18" t="s">
        <v>12</v>
      </c>
      <c r="B33" s="28">
        <f t="shared" ref="B33:E33" si="4">+B13-B32</f>
        <v>0</v>
      </c>
      <c r="C33" s="185">
        <f t="shared" si="4"/>
        <v>0</v>
      </c>
      <c r="D33" s="185">
        <f t="shared" si="4"/>
        <v>0</v>
      </c>
      <c r="E33" s="29">
        <f t="shared" si="4"/>
        <v>25305920</v>
      </c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4.25" customHeight="1">
      <c r="A34" s="18" t="s">
        <v>13</v>
      </c>
      <c r="B34" s="384">
        <f>+B33+C33+D33+E33</f>
        <v>25305920</v>
      </c>
      <c r="C34" s="342"/>
      <c r="D34" s="342"/>
      <c r="E34" s="343"/>
      <c r="F34" s="13"/>
      <c r="G34" s="15">
        <f>B34/B14</f>
        <v>8.0051185445266983E-3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36.75" customHeight="1">
      <c r="A37" s="1"/>
      <c r="B37" s="385"/>
      <c r="C37" s="331"/>
      <c r="D37" s="331"/>
      <c r="E37" s="330"/>
      <c r="F37" s="331"/>
      <c r="G37" s="33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.25" customHeight="1">
      <c r="A41" s="1"/>
      <c r="B41" s="1"/>
      <c r="C41" s="1"/>
      <c r="D41" s="1"/>
      <c r="E41" s="330"/>
      <c r="F41" s="331"/>
      <c r="G41" s="33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</sheetData>
  <mergeCells count="14">
    <mergeCell ref="E41:G41"/>
    <mergeCell ref="A2:E2"/>
    <mergeCell ref="A3:E3"/>
    <mergeCell ref="B4:C4"/>
    <mergeCell ref="B5:C5"/>
    <mergeCell ref="B6:E6"/>
    <mergeCell ref="A7:A8"/>
    <mergeCell ref="B14:E14"/>
    <mergeCell ref="B10:D10"/>
    <mergeCell ref="D19:D31"/>
    <mergeCell ref="C24:C31"/>
    <mergeCell ref="B34:E34"/>
    <mergeCell ref="B37:D37"/>
    <mergeCell ref="E37:G37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S935"/>
  <sheetViews>
    <sheetView workbookViewId="0"/>
  </sheetViews>
  <sheetFormatPr baseColWidth="10" defaultColWidth="12.58203125" defaultRowHeight="15" customHeight="1"/>
  <cols>
    <col min="1" max="1" width="17.83203125" customWidth="1"/>
    <col min="2" max="2" width="31.75" customWidth="1"/>
    <col min="3" max="3" width="19.33203125" customWidth="1"/>
    <col min="4" max="4" width="16.58203125" customWidth="1"/>
    <col min="5" max="5" width="17.83203125" customWidth="1"/>
    <col min="6" max="6" width="16" customWidth="1"/>
    <col min="7" max="7" width="14" customWidth="1"/>
    <col min="8" max="8" width="16.08203125" customWidth="1"/>
    <col min="9" max="9" width="13.75" customWidth="1"/>
    <col min="10" max="10" width="17.83203125" customWidth="1"/>
    <col min="11" max="11" width="8.58203125" customWidth="1"/>
    <col min="12" max="12" width="14.08203125" customWidth="1"/>
    <col min="13" max="13" width="12.25" customWidth="1"/>
    <col min="14" max="19" width="8.58203125" customWidth="1"/>
  </cols>
  <sheetData>
    <row r="1" spans="1:1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1"/>
      <c r="B2" s="357" t="s">
        <v>180</v>
      </c>
      <c r="C2" s="342"/>
      <c r="D2" s="342"/>
      <c r="E2" s="342"/>
      <c r="F2" s="3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.5" customHeight="1">
      <c r="A3" s="1"/>
      <c r="B3" s="357" t="s">
        <v>181</v>
      </c>
      <c r="C3" s="342"/>
      <c r="D3" s="342"/>
      <c r="E3" s="342"/>
      <c r="F3" s="3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"/>
      <c r="B4" s="2" t="s">
        <v>0</v>
      </c>
      <c r="C4" s="358" t="s">
        <v>1</v>
      </c>
      <c r="D4" s="343"/>
      <c r="E4" s="2" t="s">
        <v>107</v>
      </c>
      <c r="F4" s="9" t="s">
        <v>108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6.5" customHeight="1">
      <c r="A5" s="1"/>
      <c r="B5" s="6">
        <v>44294</v>
      </c>
      <c r="C5" s="359">
        <v>44598</v>
      </c>
      <c r="D5" s="343"/>
      <c r="E5" s="6">
        <v>44270</v>
      </c>
      <c r="F5" s="10">
        <v>180000000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 customHeight="1">
      <c r="A6" s="1"/>
      <c r="B6" s="108"/>
      <c r="C6" s="357" t="s">
        <v>5</v>
      </c>
      <c r="D6" s="342"/>
      <c r="E6" s="342"/>
      <c r="F6" s="34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6.5" customHeight="1">
      <c r="A7" s="1"/>
      <c r="B7" s="370" t="s">
        <v>182</v>
      </c>
      <c r="C7" s="38" t="s">
        <v>183</v>
      </c>
      <c r="D7" s="38" t="s">
        <v>115</v>
      </c>
      <c r="E7" s="38" t="s">
        <v>184</v>
      </c>
      <c r="F7" s="9"/>
      <c r="G7" s="1"/>
      <c r="H7" s="1"/>
      <c r="I7" s="186"/>
      <c r="J7" s="186"/>
      <c r="K7" s="1"/>
      <c r="L7" s="1"/>
      <c r="M7" s="1"/>
      <c r="N7" s="1"/>
      <c r="O7" s="1"/>
      <c r="P7" s="1"/>
      <c r="Q7" s="1"/>
      <c r="R7" s="1"/>
      <c r="S7" s="1"/>
    </row>
    <row r="8" spans="1:19" ht="14.25" customHeight="1">
      <c r="A8" s="1"/>
      <c r="B8" s="340"/>
      <c r="C8" s="120" t="s">
        <v>185</v>
      </c>
      <c r="D8" s="120" t="s">
        <v>186</v>
      </c>
      <c r="E8" s="120" t="s">
        <v>187</v>
      </c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 customHeight="1">
      <c r="A9" s="1"/>
      <c r="B9" s="41" t="s">
        <v>5</v>
      </c>
      <c r="C9" s="120">
        <v>290000000</v>
      </c>
      <c r="D9" s="120">
        <v>1476126195</v>
      </c>
      <c r="E9" s="120">
        <v>1476126196</v>
      </c>
      <c r="F9" s="3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25" customHeight="1">
      <c r="A10" s="1"/>
      <c r="B10" s="11" t="s">
        <v>6</v>
      </c>
      <c r="C10" s="361">
        <f>+C9+D9+E9</f>
        <v>3242252391</v>
      </c>
      <c r="D10" s="342"/>
      <c r="E10" s="343"/>
      <c r="F10" s="3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1"/>
      <c r="B11" s="38"/>
      <c r="C11" s="38"/>
      <c r="D11" s="38"/>
      <c r="E11" s="38"/>
      <c r="F11" s="31"/>
      <c r="G11" s="1"/>
      <c r="H11" s="12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25" customHeight="1">
      <c r="A12" s="1"/>
      <c r="B12" s="18" t="s">
        <v>18</v>
      </c>
      <c r="C12" s="13"/>
      <c r="D12" s="13"/>
      <c r="E12" s="13"/>
      <c r="F12" s="3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 customHeight="1">
      <c r="A13" s="1"/>
      <c r="B13" s="11" t="s">
        <v>160</v>
      </c>
      <c r="C13" s="110">
        <f t="shared" ref="C13:E13" si="0">+C9+C12</f>
        <v>290000000</v>
      </c>
      <c r="D13" s="110">
        <f t="shared" si="0"/>
        <v>1476126195</v>
      </c>
      <c r="E13" s="110">
        <f t="shared" si="0"/>
        <v>1476126196</v>
      </c>
      <c r="F13" s="183">
        <f>F5</f>
        <v>180000000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4.25" customHeight="1">
      <c r="A14" s="2" t="s">
        <v>60</v>
      </c>
      <c r="B14" s="11" t="s">
        <v>161</v>
      </c>
      <c r="C14" s="361">
        <f>C10+C12+D12+E12+F13</f>
        <v>3422252391</v>
      </c>
      <c r="D14" s="342"/>
      <c r="E14" s="342"/>
      <c r="F14" s="343"/>
      <c r="G14" s="44" t="s">
        <v>47</v>
      </c>
      <c r="H14" s="44" t="s">
        <v>48</v>
      </c>
      <c r="I14" s="1"/>
      <c r="J14" s="184"/>
      <c r="K14" s="1"/>
      <c r="L14" s="1"/>
      <c r="M14" s="1"/>
      <c r="N14" s="1"/>
      <c r="O14" s="1"/>
      <c r="P14" s="1"/>
      <c r="Q14" s="1"/>
      <c r="R14" s="1"/>
      <c r="S14" s="1"/>
    </row>
    <row r="15" spans="1:19" ht="14.25" customHeight="1">
      <c r="A15" s="45" t="s">
        <v>188</v>
      </c>
      <c r="B15" s="13" t="s">
        <v>189</v>
      </c>
      <c r="C15" s="14">
        <v>44270388</v>
      </c>
      <c r="D15" s="14">
        <v>88540774</v>
      </c>
      <c r="E15" s="13">
        <v>44270387</v>
      </c>
      <c r="F15" s="10"/>
      <c r="G15" s="13">
        <f t="shared" ref="G15:G32" si="1">C15+D15+E15+F15</f>
        <v>177081549</v>
      </c>
      <c r="H15" s="15">
        <f>G15/C14</f>
        <v>5.1744152320763181E-2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4.25" customHeight="1">
      <c r="A16" s="45" t="s">
        <v>190</v>
      </c>
      <c r="B16" s="13" t="s">
        <v>191</v>
      </c>
      <c r="C16" s="14">
        <v>74336165</v>
      </c>
      <c r="D16" s="14">
        <v>148672330</v>
      </c>
      <c r="E16" s="13">
        <v>74336165</v>
      </c>
      <c r="F16" s="10"/>
      <c r="G16" s="13">
        <f t="shared" si="1"/>
        <v>297344660</v>
      </c>
      <c r="H16" s="15">
        <f>(G16/C$14)+H15</f>
        <v>0.13862981299908456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4.25" customHeight="1">
      <c r="A17" s="45" t="s">
        <v>192</v>
      </c>
      <c r="B17" s="13" t="s">
        <v>193</v>
      </c>
      <c r="C17" s="14">
        <v>77555650</v>
      </c>
      <c r="D17" s="14">
        <v>155111298</v>
      </c>
      <c r="E17" s="13">
        <v>77555649</v>
      </c>
      <c r="F17" s="10"/>
      <c r="G17" s="13">
        <f t="shared" si="1"/>
        <v>310222597</v>
      </c>
      <c r="H17" s="15">
        <f>(G17/C$14)+H15</f>
        <v>0.14239281336512039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 customHeight="1">
      <c r="A18" s="45"/>
      <c r="B18" s="13" t="s">
        <v>194</v>
      </c>
      <c r="C18" s="14">
        <v>77555650</v>
      </c>
      <c r="D18" s="14">
        <v>155111298</v>
      </c>
      <c r="E18" s="13">
        <v>77555649</v>
      </c>
      <c r="F18" s="10"/>
      <c r="G18" s="13">
        <f t="shared" si="1"/>
        <v>310222597</v>
      </c>
      <c r="H18" s="15">
        <f t="shared" ref="H18:H31" si="2">(G18/C$14)+H17</f>
        <v>0.23304147440947759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>
      <c r="A19" s="45"/>
      <c r="B19" s="13" t="s">
        <v>195</v>
      </c>
      <c r="C19" s="14">
        <v>16282147</v>
      </c>
      <c r="D19" s="14">
        <v>155111298</v>
      </c>
      <c r="E19" s="13">
        <v>138829152</v>
      </c>
      <c r="F19" s="10"/>
      <c r="G19" s="13">
        <f t="shared" si="1"/>
        <v>310222597</v>
      </c>
      <c r="H19" s="15">
        <f t="shared" si="2"/>
        <v>0.32369013545383479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>
      <c r="A20" s="45"/>
      <c r="B20" s="13" t="s">
        <v>196</v>
      </c>
      <c r="C20" s="14"/>
      <c r="D20" s="14">
        <v>155111298.5</v>
      </c>
      <c r="E20" s="13">
        <f>155111298.5+15000000</f>
        <v>170111298.5</v>
      </c>
      <c r="F20" s="10"/>
      <c r="G20" s="13">
        <f t="shared" si="1"/>
        <v>325222597</v>
      </c>
      <c r="H20" s="15">
        <f t="shared" si="2"/>
        <v>0.41872187474205491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25" customHeight="1">
      <c r="A21" s="45"/>
      <c r="B21" s="13" t="s">
        <v>197</v>
      </c>
      <c r="C21" s="14"/>
      <c r="D21" s="14">
        <v>155111298.5</v>
      </c>
      <c r="E21" s="13">
        <v>170111298.5</v>
      </c>
      <c r="F21" s="10"/>
      <c r="G21" s="13">
        <f t="shared" si="1"/>
        <v>325222597</v>
      </c>
      <c r="H21" s="15">
        <f t="shared" si="2"/>
        <v>0.51375361403027509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 customHeight="1">
      <c r="A22" s="45"/>
      <c r="B22" s="13" t="s">
        <v>198</v>
      </c>
      <c r="C22" s="14"/>
      <c r="D22" s="14">
        <v>155111298.5</v>
      </c>
      <c r="E22" s="13">
        <f>170111298.5+7500000</f>
        <v>177611298.5</v>
      </c>
      <c r="F22" s="10"/>
      <c r="G22" s="13">
        <f t="shared" si="1"/>
        <v>332722597</v>
      </c>
      <c r="H22" s="15">
        <f t="shared" si="2"/>
        <v>0.61097689244042663</v>
      </c>
      <c r="I22" s="1"/>
      <c r="J22" s="1"/>
      <c r="L22" s="1"/>
      <c r="M22" s="1"/>
      <c r="N22" s="1"/>
      <c r="O22" s="1"/>
      <c r="P22" s="1"/>
      <c r="Q22" s="1"/>
      <c r="R22" s="1"/>
      <c r="S22" s="1"/>
    </row>
    <row r="23" spans="1:19" ht="14.25" customHeight="1">
      <c r="A23" s="45"/>
      <c r="B23" s="13" t="s">
        <v>315</v>
      </c>
      <c r="C23" s="34"/>
      <c r="D23" s="14">
        <v>155111298.5</v>
      </c>
      <c r="E23" s="13">
        <f>170111298.5+7500000+7500000</f>
        <v>185111298.5</v>
      </c>
      <c r="F23" s="10"/>
      <c r="G23" s="13">
        <f t="shared" si="1"/>
        <v>340222597</v>
      </c>
      <c r="H23" s="15">
        <f t="shared" si="2"/>
        <v>0.71039170997250967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 customHeight="1">
      <c r="A24" s="45"/>
      <c r="B24" s="13" t="s">
        <v>316</v>
      </c>
      <c r="C24" s="34"/>
      <c r="D24" s="14">
        <v>153134003</v>
      </c>
      <c r="E24" s="13">
        <f>170111298.5+7500000+7500000+1977296</f>
        <v>187088594.5</v>
      </c>
      <c r="F24" s="10"/>
      <c r="G24" s="13">
        <f t="shared" si="1"/>
        <v>340222597.5</v>
      </c>
      <c r="H24" s="15">
        <f t="shared" si="2"/>
        <v>0.80980652765069538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 customHeight="1">
      <c r="A25" s="45"/>
      <c r="B25" s="86" t="s">
        <v>317</v>
      </c>
      <c r="C25" s="122"/>
      <c r="D25" s="46"/>
      <c r="E25" s="86">
        <v>173545406</v>
      </c>
      <c r="F25" s="86">
        <f>G24-E25</f>
        <v>166677191.5</v>
      </c>
      <c r="G25" s="86">
        <f t="shared" si="1"/>
        <v>340222597.5</v>
      </c>
      <c r="H25" s="15">
        <f t="shared" si="2"/>
        <v>0.9092213453288811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 customHeight="1">
      <c r="A26" s="45"/>
      <c r="B26" s="86" t="s">
        <v>318</v>
      </c>
      <c r="C26" s="122"/>
      <c r="D26" s="46"/>
      <c r="E26" s="86"/>
      <c r="F26" s="86">
        <f>G24/2</f>
        <v>170111298.75</v>
      </c>
      <c r="G26" s="86">
        <f t="shared" si="1"/>
        <v>170111298.75</v>
      </c>
      <c r="H26" s="15">
        <f t="shared" si="2"/>
        <v>0.95892875416797396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 customHeight="1">
      <c r="A27" s="45"/>
      <c r="B27" s="13"/>
      <c r="C27" s="34"/>
      <c r="D27" s="14"/>
      <c r="E27" s="14"/>
      <c r="F27" s="10"/>
      <c r="G27" s="14">
        <f t="shared" si="1"/>
        <v>0</v>
      </c>
      <c r="H27" s="15">
        <f t="shared" si="2"/>
        <v>0.95892875416797396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>
      <c r="A28" s="45"/>
      <c r="B28" s="13"/>
      <c r="C28" s="34"/>
      <c r="D28" s="14"/>
      <c r="E28" s="14"/>
      <c r="F28" s="10"/>
      <c r="G28" s="14">
        <f t="shared" si="1"/>
        <v>0</v>
      </c>
      <c r="H28" s="15">
        <f t="shared" si="2"/>
        <v>0.95892875416797396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 customHeight="1">
      <c r="A29" s="45"/>
      <c r="B29" s="13"/>
      <c r="C29" s="14"/>
      <c r="D29" s="14"/>
      <c r="E29" s="14"/>
      <c r="F29" s="10"/>
      <c r="G29" s="14">
        <f t="shared" si="1"/>
        <v>0</v>
      </c>
      <c r="H29" s="15">
        <f t="shared" si="2"/>
        <v>0.95892875416797396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 customHeight="1">
      <c r="A30" s="45"/>
      <c r="B30" s="13"/>
      <c r="C30" s="14"/>
      <c r="D30" s="14"/>
      <c r="E30" s="14"/>
      <c r="F30" s="10"/>
      <c r="G30" s="14">
        <f t="shared" si="1"/>
        <v>0</v>
      </c>
      <c r="H30" s="15">
        <f t="shared" si="2"/>
        <v>0.95892875416797396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 customHeight="1">
      <c r="A31" s="13"/>
      <c r="B31" s="13"/>
      <c r="C31" s="14"/>
      <c r="D31" s="14"/>
      <c r="E31" s="14"/>
      <c r="F31" s="30"/>
      <c r="G31" s="14">
        <f t="shared" si="1"/>
        <v>0</v>
      </c>
      <c r="H31" s="15">
        <f t="shared" si="2"/>
        <v>0.95892875416797396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 customHeight="1">
      <c r="A32" s="48"/>
      <c r="B32" s="18" t="s">
        <v>11</v>
      </c>
      <c r="C32" s="28">
        <f>SUM(C15:C27)</f>
        <v>290000000</v>
      </c>
      <c r="D32" s="28">
        <f t="shared" ref="D32:F32" si="3">SUM(D15:D31)</f>
        <v>1476126195</v>
      </c>
      <c r="E32" s="28">
        <f t="shared" si="3"/>
        <v>1476126196.5</v>
      </c>
      <c r="F32" s="29">
        <f t="shared" si="3"/>
        <v>336788490.25</v>
      </c>
      <c r="G32" s="14">
        <f t="shared" si="1"/>
        <v>3579040881.75</v>
      </c>
      <c r="H32" s="15">
        <f>G32/C14</f>
        <v>1.0458144148462953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 customHeight="1">
      <c r="A33" s="48"/>
      <c r="B33" s="18" t="s">
        <v>12</v>
      </c>
      <c r="C33" s="28">
        <f t="shared" ref="C33:F33" si="4">+C13-C32</f>
        <v>0</v>
      </c>
      <c r="D33" s="121">
        <f t="shared" si="4"/>
        <v>0</v>
      </c>
      <c r="E33" s="121">
        <f t="shared" si="4"/>
        <v>-0.5</v>
      </c>
      <c r="F33" s="29">
        <f t="shared" si="4"/>
        <v>-156788490.25</v>
      </c>
      <c r="G33" s="13"/>
      <c r="H33" s="1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customHeight="1">
      <c r="A34" s="48"/>
      <c r="B34" s="18" t="s">
        <v>13</v>
      </c>
      <c r="C34" s="384">
        <f>+C33+D33+E33+F33</f>
        <v>-156788490.75</v>
      </c>
      <c r="D34" s="342"/>
      <c r="E34" s="342"/>
      <c r="F34" s="343"/>
      <c r="G34" s="13"/>
      <c r="H34" s="15">
        <f>C34/C14</f>
        <v>-4.5814414846295302E-2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customHeight="1">
      <c r="A36" s="1"/>
      <c r="B36" s="1"/>
      <c r="C36" s="1"/>
      <c r="D36" s="1"/>
      <c r="E36" s="1"/>
      <c r="F36" s="1"/>
      <c r="G36" s="1">
        <v>1760520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6.75" customHeight="1">
      <c r="A37" s="1"/>
      <c r="B37" s="1"/>
      <c r="C37" s="1"/>
      <c r="D37" s="23" t="s">
        <v>319</v>
      </c>
      <c r="E37" s="1" t="s">
        <v>320</v>
      </c>
      <c r="F37" s="12">
        <v>8</v>
      </c>
      <c r="G37" s="1">
        <f>F37*G36</f>
        <v>14084160</v>
      </c>
      <c r="H37" s="1">
        <f>G37*7</f>
        <v>98589120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customHeight="1">
      <c r="A38" s="1"/>
      <c r="B38" s="1"/>
      <c r="C38" s="1"/>
      <c r="D38" s="187">
        <v>44501</v>
      </c>
      <c r="E38" s="1" t="s">
        <v>321</v>
      </c>
      <c r="F38" s="12">
        <v>4</v>
      </c>
      <c r="G38" s="1">
        <f>F38*G36</f>
        <v>7042080</v>
      </c>
      <c r="H38" s="1">
        <f>G38*5</f>
        <v>35210400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>
      <c r="A39" s="1"/>
      <c r="B39" s="1"/>
      <c r="C39" s="1"/>
      <c r="D39" s="187">
        <v>44531</v>
      </c>
      <c r="E39" s="1" t="s">
        <v>322</v>
      </c>
      <c r="F39" s="12">
        <v>8</v>
      </c>
      <c r="G39" s="1">
        <f>F39*G36</f>
        <v>14084160</v>
      </c>
      <c r="H39" s="1">
        <f>G39*4</f>
        <v>56336640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customHeight="1">
      <c r="A40" s="1"/>
      <c r="B40" s="1"/>
      <c r="C40" s="1"/>
      <c r="D40" s="187"/>
      <c r="E40" s="1"/>
      <c r="F40" s="12">
        <f>SUM(F37:F39)</f>
        <v>20</v>
      </c>
      <c r="H40" s="1">
        <f>SUM(H37:H39)</f>
        <v>190136160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customHeight="1">
      <c r="A41" s="1"/>
      <c r="B41" s="1"/>
      <c r="C41" s="1"/>
      <c r="D41" s="1"/>
      <c r="E41" s="1"/>
      <c r="F41" s="1"/>
      <c r="G41" s="1"/>
      <c r="H41" s="1">
        <f>H40+F5</f>
        <v>370136160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</sheetData>
  <mergeCells count="9">
    <mergeCell ref="C14:F14"/>
    <mergeCell ref="C34:F34"/>
    <mergeCell ref="B2:F2"/>
    <mergeCell ref="B3:F3"/>
    <mergeCell ref="C4:D4"/>
    <mergeCell ref="C5:D5"/>
    <mergeCell ref="C6:F6"/>
    <mergeCell ref="B7:B8"/>
    <mergeCell ref="C10:E10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2:I1000"/>
  <sheetViews>
    <sheetView workbookViewId="0"/>
  </sheetViews>
  <sheetFormatPr baseColWidth="10" defaultColWidth="12.58203125" defaultRowHeight="15" customHeight="1"/>
  <cols>
    <col min="1" max="1" width="27.75" customWidth="1"/>
    <col min="2" max="9" width="16.58203125" customWidth="1"/>
  </cols>
  <sheetData>
    <row r="2" spans="1:9" ht="15" customHeight="1">
      <c r="A2" s="357" t="s">
        <v>105</v>
      </c>
      <c r="B2" s="342"/>
      <c r="C2" s="342"/>
      <c r="D2" s="342"/>
      <c r="E2" s="342"/>
      <c r="F2" s="342"/>
      <c r="G2" s="342"/>
      <c r="H2" s="342"/>
      <c r="I2" s="343"/>
    </row>
    <row r="3" spans="1:9" ht="15" customHeight="1">
      <c r="A3" s="357" t="s">
        <v>106</v>
      </c>
      <c r="B3" s="342"/>
      <c r="C3" s="342"/>
      <c r="D3" s="342"/>
      <c r="E3" s="342"/>
      <c r="F3" s="342"/>
      <c r="G3" s="342"/>
      <c r="H3" s="342"/>
      <c r="I3" s="343"/>
    </row>
    <row r="4" spans="1:9" ht="15" customHeight="1">
      <c r="A4" s="2" t="s">
        <v>0</v>
      </c>
      <c r="B4" s="358" t="s">
        <v>1</v>
      </c>
      <c r="C4" s="343"/>
      <c r="D4" s="2" t="s">
        <v>107</v>
      </c>
      <c r="E4" s="2" t="s">
        <v>108</v>
      </c>
      <c r="F4" s="38"/>
      <c r="G4" s="38"/>
      <c r="H4" s="38"/>
      <c r="I4" s="38"/>
    </row>
    <row r="5" spans="1:9" ht="15" customHeight="1">
      <c r="A5" s="6">
        <v>43671</v>
      </c>
      <c r="B5" s="359">
        <v>43885</v>
      </c>
      <c r="C5" s="343"/>
      <c r="D5" s="2" t="s">
        <v>109</v>
      </c>
      <c r="E5" s="2" t="s">
        <v>109</v>
      </c>
      <c r="F5" s="38"/>
      <c r="G5" s="38"/>
      <c r="H5" s="38"/>
      <c r="I5" s="38"/>
    </row>
    <row r="6" spans="1:9" ht="15" customHeight="1">
      <c r="A6" s="358" t="s">
        <v>21</v>
      </c>
      <c r="B6" s="342"/>
      <c r="C6" s="342"/>
      <c r="D6" s="342"/>
      <c r="E6" s="342"/>
      <c r="F6" s="342"/>
      <c r="G6" s="342"/>
      <c r="H6" s="342"/>
      <c r="I6" s="343"/>
    </row>
    <row r="7" spans="1:9" ht="15" customHeight="1">
      <c r="A7" s="360" t="s">
        <v>110</v>
      </c>
      <c r="B7" s="365" t="s">
        <v>111</v>
      </c>
      <c r="C7" s="342"/>
      <c r="D7" s="342"/>
      <c r="E7" s="342"/>
      <c r="F7" s="343"/>
      <c r="G7" s="33" t="s">
        <v>112</v>
      </c>
      <c r="H7" s="33" t="s">
        <v>113</v>
      </c>
      <c r="I7" s="33" t="s">
        <v>114</v>
      </c>
    </row>
    <row r="8" spans="1:9" ht="15" customHeight="1">
      <c r="A8" s="339"/>
      <c r="B8" s="90" t="s">
        <v>115</v>
      </c>
      <c r="C8" s="90" t="s">
        <v>116</v>
      </c>
      <c r="D8" s="90" t="s">
        <v>117</v>
      </c>
      <c r="E8" s="90" t="s">
        <v>118</v>
      </c>
      <c r="F8" s="90" t="s">
        <v>119</v>
      </c>
      <c r="G8" s="89"/>
      <c r="H8" s="89"/>
      <c r="I8" s="89"/>
    </row>
    <row r="9" spans="1:9" ht="15.5">
      <c r="A9" s="340"/>
      <c r="B9" s="91" t="s">
        <v>120</v>
      </c>
      <c r="C9" s="91" t="s">
        <v>121</v>
      </c>
      <c r="D9" s="91" t="s">
        <v>122</v>
      </c>
      <c r="E9" s="91" t="s">
        <v>123</v>
      </c>
      <c r="F9" s="91" t="s">
        <v>124</v>
      </c>
      <c r="G9" s="89"/>
      <c r="H9" s="89"/>
      <c r="I9" s="89"/>
    </row>
    <row r="10" spans="1:9" ht="15.5">
      <c r="A10" s="41" t="s">
        <v>5</v>
      </c>
      <c r="B10" s="92">
        <v>19000000</v>
      </c>
      <c r="C10" s="92">
        <v>3000000</v>
      </c>
      <c r="D10" s="92">
        <v>2000000</v>
      </c>
      <c r="E10" s="92">
        <v>20500000</v>
      </c>
      <c r="F10" s="92">
        <v>1000000</v>
      </c>
      <c r="G10" s="11">
        <f>B10+C10+D10+E10+F10</f>
        <v>45500000</v>
      </c>
      <c r="H10" s="89"/>
      <c r="I10" s="89"/>
    </row>
    <row r="11" spans="1:9" ht="15" customHeight="1">
      <c r="A11" s="11" t="s">
        <v>125</v>
      </c>
      <c r="B11" s="364">
        <f>B10+C10+D10+E10+F10</f>
        <v>45500000</v>
      </c>
      <c r="C11" s="342"/>
      <c r="D11" s="342"/>
      <c r="E11" s="342"/>
      <c r="F11" s="386"/>
      <c r="G11" s="89"/>
      <c r="H11" s="89"/>
      <c r="I11" s="89"/>
    </row>
    <row r="12" spans="1:9" ht="15" customHeight="1">
      <c r="A12" s="13" t="s">
        <v>126</v>
      </c>
      <c r="B12" s="93">
        <v>7510875</v>
      </c>
      <c r="C12" s="93">
        <v>2435360</v>
      </c>
      <c r="D12" s="93">
        <v>2000000</v>
      </c>
      <c r="E12" s="93">
        <v>5673834</v>
      </c>
      <c r="F12" s="93"/>
      <c r="G12" s="89">
        <f t="shared" ref="G12:G25" si="0">B12+C12+D12+E12+F12</f>
        <v>17620069</v>
      </c>
      <c r="H12" s="94">
        <f>G12</f>
        <v>17620069</v>
      </c>
      <c r="I12" s="94">
        <f t="shared" ref="I12:I23" si="1">H12/$B$11</f>
        <v>0.38725426373626376</v>
      </c>
    </row>
    <row r="13" spans="1:9" ht="15" customHeight="1">
      <c r="A13" s="13" t="s">
        <v>127</v>
      </c>
      <c r="B13" s="93">
        <v>2526205</v>
      </c>
      <c r="C13" s="93">
        <v>416546</v>
      </c>
      <c r="D13" s="93"/>
      <c r="E13" s="93">
        <v>2844446</v>
      </c>
      <c r="F13" s="93"/>
      <c r="G13" s="89">
        <f t="shared" si="0"/>
        <v>5787197</v>
      </c>
      <c r="H13" s="94">
        <f t="shared" ref="H13:H23" si="2">H12+G13</f>
        <v>23407266</v>
      </c>
      <c r="I13" s="94">
        <f t="shared" si="1"/>
        <v>0.51444540659340654</v>
      </c>
    </row>
    <row r="14" spans="1:9" ht="15" customHeight="1">
      <c r="A14" s="13" t="s">
        <v>128</v>
      </c>
      <c r="B14" s="93">
        <v>5940124</v>
      </c>
      <c r="C14" s="93"/>
      <c r="D14" s="93"/>
      <c r="E14" s="93">
        <v>1572513</v>
      </c>
      <c r="F14" s="93"/>
      <c r="G14" s="89">
        <f t="shared" si="0"/>
        <v>7512637</v>
      </c>
      <c r="H14" s="94">
        <f t="shared" si="2"/>
        <v>30919903</v>
      </c>
      <c r="I14" s="94">
        <f t="shared" si="1"/>
        <v>0.67955830769230774</v>
      </c>
    </row>
    <row r="15" spans="1:9" ht="15" customHeight="1">
      <c r="A15" s="13" t="s">
        <v>129</v>
      </c>
      <c r="B15" s="93">
        <v>2583324</v>
      </c>
      <c r="C15" s="93">
        <v>148094</v>
      </c>
      <c r="D15" s="93"/>
      <c r="E15" s="93">
        <v>3987897</v>
      </c>
      <c r="F15" s="93">
        <v>1000000</v>
      </c>
      <c r="G15" s="89">
        <f t="shared" si="0"/>
        <v>7719315</v>
      </c>
      <c r="H15" s="94">
        <f t="shared" si="2"/>
        <v>38639218</v>
      </c>
      <c r="I15" s="94">
        <f t="shared" si="1"/>
        <v>0.84921358241758238</v>
      </c>
    </row>
    <row r="16" spans="1:9" ht="15" customHeight="1">
      <c r="A16" s="13" t="s">
        <v>130</v>
      </c>
      <c r="B16" s="93"/>
      <c r="C16" s="93"/>
      <c r="D16" s="93"/>
      <c r="E16" s="93"/>
      <c r="F16" s="93"/>
      <c r="G16" s="89">
        <f t="shared" si="0"/>
        <v>0</v>
      </c>
      <c r="H16" s="94">
        <f t="shared" si="2"/>
        <v>38639218</v>
      </c>
      <c r="I16" s="94">
        <f t="shared" si="1"/>
        <v>0.84921358241758238</v>
      </c>
    </row>
    <row r="17" spans="1:9" ht="15" customHeight="1">
      <c r="A17" s="13" t="s">
        <v>131</v>
      </c>
      <c r="B17" s="93"/>
      <c r="C17" s="93"/>
      <c r="D17" s="93"/>
      <c r="E17" s="93"/>
      <c r="F17" s="93"/>
      <c r="G17" s="89">
        <f t="shared" si="0"/>
        <v>0</v>
      </c>
      <c r="H17" s="94">
        <f t="shared" si="2"/>
        <v>38639218</v>
      </c>
      <c r="I17" s="94">
        <f t="shared" si="1"/>
        <v>0.84921358241758238</v>
      </c>
    </row>
    <row r="18" spans="1:9" ht="15" customHeight="1">
      <c r="A18" s="13" t="s">
        <v>132</v>
      </c>
      <c r="B18" s="93"/>
      <c r="C18" s="93"/>
      <c r="D18" s="93"/>
      <c r="E18" s="93"/>
      <c r="F18" s="93"/>
      <c r="G18" s="89">
        <f t="shared" si="0"/>
        <v>0</v>
      </c>
      <c r="H18" s="94">
        <f t="shared" si="2"/>
        <v>38639218</v>
      </c>
      <c r="I18" s="94">
        <f t="shared" si="1"/>
        <v>0.84921358241758238</v>
      </c>
    </row>
    <row r="19" spans="1:9" ht="15" customHeight="1">
      <c r="A19" s="13" t="s">
        <v>29</v>
      </c>
      <c r="B19" s="93"/>
      <c r="C19" s="93"/>
      <c r="D19" s="93"/>
      <c r="E19" s="93"/>
      <c r="F19" s="93"/>
      <c r="G19" s="89">
        <f t="shared" si="0"/>
        <v>0</v>
      </c>
      <c r="H19" s="94">
        <f t="shared" si="2"/>
        <v>38639218</v>
      </c>
      <c r="I19" s="94">
        <f t="shared" si="1"/>
        <v>0.84921358241758238</v>
      </c>
    </row>
    <row r="20" spans="1:9" ht="15" customHeight="1">
      <c r="A20" s="13" t="s">
        <v>30</v>
      </c>
      <c r="B20" s="93"/>
      <c r="C20" s="93"/>
      <c r="D20" s="93"/>
      <c r="E20" s="93"/>
      <c r="F20" s="93"/>
      <c r="G20" s="89">
        <f t="shared" si="0"/>
        <v>0</v>
      </c>
      <c r="H20" s="94">
        <f t="shared" si="2"/>
        <v>38639218</v>
      </c>
      <c r="I20" s="94">
        <f t="shared" si="1"/>
        <v>0.84921358241758238</v>
      </c>
    </row>
    <row r="21" spans="1:9" ht="15" customHeight="1">
      <c r="A21" s="13" t="s">
        <v>17</v>
      </c>
      <c r="B21" s="93"/>
      <c r="C21" s="93"/>
      <c r="D21" s="93"/>
      <c r="E21" s="93"/>
      <c r="F21" s="93"/>
      <c r="G21" s="89">
        <f t="shared" si="0"/>
        <v>0</v>
      </c>
      <c r="H21" s="94">
        <f t="shared" si="2"/>
        <v>38639218</v>
      </c>
      <c r="I21" s="94">
        <f t="shared" si="1"/>
        <v>0.84921358241758238</v>
      </c>
    </row>
    <row r="22" spans="1:9" ht="15" customHeight="1">
      <c r="A22" s="13" t="s">
        <v>31</v>
      </c>
      <c r="B22" s="93"/>
      <c r="C22" s="93"/>
      <c r="D22" s="93"/>
      <c r="E22" s="93"/>
      <c r="F22" s="93"/>
      <c r="G22" s="89">
        <f t="shared" si="0"/>
        <v>0</v>
      </c>
      <c r="H22" s="94">
        <f t="shared" si="2"/>
        <v>38639218</v>
      </c>
      <c r="I22" s="94">
        <f t="shared" si="1"/>
        <v>0.84921358241758238</v>
      </c>
    </row>
    <row r="23" spans="1:9" ht="15.75" customHeight="1">
      <c r="A23" s="13" t="s">
        <v>32</v>
      </c>
      <c r="B23" s="92"/>
      <c r="C23" s="92"/>
      <c r="D23" s="92"/>
      <c r="E23" s="92"/>
      <c r="F23" s="92"/>
      <c r="G23" s="89">
        <f t="shared" si="0"/>
        <v>0</v>
      </c>
      <c r="H23" s="94">
        <f t="shared" si="2"/>
        <v>38639218</v>
      </c>
      <c r="I23" s="94">
        <f t="shared" si="1"/>
        <v>0.84921358241758238</v>
      </c>
    </row>
    <row r="24" spans="1:9" ht="15.75" customHeight="1">
      <c r="A24" s="11" t="s">
        <v>11</v>
      </c>
      <c r="B24" s="95">
        <f t="shared" ref="B24:F24" si="3">SUM(B12:B23)</f>
        <v>18560528</v>
      </c>
      <c r="C24" s="95">
        <f t="shared" si="3"/>
        <v>3000000</v>
      </c>
      <c r="D24" s="95">
        <f t="shared" si="3"/>
        <v>2000000</v>
      </c>
      <c r="E24" s="95">
        <f t="shared" si="3"/>
        <v>14078690</v>
      </c>
      <c r="F24" s="95">
        <f t="shared" si="3"/>
        <v>1000000</v>
      </c>
      <c r="G24" s="95">
        <f t="shared" si="0"/>
        <v>38639218</v>
      </c>
      <c r="H24" s="94"/>
      <c r="I24" s="94"/>
    </row>
    <row r="25" spans="1:9" ht="15.75" customHeight="1">
      <c r="A25" s="11" t="s">
        <v>12</v>
      </c>
      <c r="B25" s="95">
        <f t="shared" ref="B25:F25" si="4">B10-B24</f>
        <v>439472</v>
      </c>
      <c r="C25" s="95">
        <f t="shared" si="4"/>
        <v>0</v>
      </c>
      <c r="D25" s="95">
        <f t="shared" si="4"/>
        <v>0</v>
      </c>
      <c r="E25" s="95">
        <f t="shared" si="4"/>
        <v>6421310</v>
      </c>
      <c r="F25" s="95">
        <f t="shared" si="4"/>
        <v>0</v>
      </c>
      <c r="G25" s="95">
        <f t="shared" si="0"/>
        <v>6860782</v>
      </c>
      <c r="H25" s="94"/>
      <c r="I25" s="94"/>
    </row>
    <row r="26" spans="1:9" ht="15" customHeight="1">
      <c r="A26" s="11" t="s">
        <v>13</v>
      </c>
      <c r="B26" s="361">
        <f>B25+C25+D25+E25+F25</f>
        <v>6860782</v>
      </c>
      <c r="C26" s="342"/>
      <c r="D26" s="342"/>
      <c r="E26" s="342"/>
      <c r="F26" s="343"/>
      <c r="G26" s="1"/>
      <c r="H26" s="7"/>
      <c r="I26" s="7"/>
    </row>
    <row r="27" spans="1:9" ht="15.75" customHeight="1"/>
    <row r="28" spans="1:9" ht="15.75" customHeight="1"/>
    <row r="29" spans="1:9" ht="15.75" customHeight="1"/>
    <row r="30" spans="1:9" ht="15.75" customHeight="1">
      <c r="B30" s="188"/>
    </row>
    <row r="31" spans="1:9" ht="15.75" customHeight="1"/>
    <row r="32" spans="1:9" ht="15.75" customHeight="1">
      <c r="F32" s="188"/>
    </row>
    <row r="33" spans="3:3" ht="15.75" customHeight="1"/>
    <row r="34" spans="3:3" ht="15.75" customHeight="1">
      <c r="C34" s="189"/>
    </row>
    <row r="35" spans="3:3" ht="15.75" customHeight="1">
      <c r="C35" s="189"/>
    </row>
    <row r="36" spans="3:3" ht="15.75" customHeight="1"/>
    <row r="37" spans="3:3" ht="15.75" customHeight="1"/>
    <row r="38" spans="3:3" ht="15.75" customHeight="1"/>
    <row r="39" spans="3:3" ht="15.75" customHeight="1"/>
    <row r="40" spans="3:3" ht="15.75" customHeight="1"/>
    <row r="41" spans="3:3" ht="15.75" customHeight="1"/>
    <row r="42" spans="3:3" ht="15.75" customHeight="1"/>
    <row r="43" spans="3:3" ht="15.75" customHeight="1"/>
    <row r="44" spans="3:3" ht="15.75" customHeight="1"/>
    <row r="45" spans="3:3" ht="15.75" customHeight="1"/>
    <row r="46" spans="3:3" ht="15.75" customHeight="1"/>
    <row r="47" spans="3:3" ht="15.75" customHeight="1"/>
    <row r="48" spans="3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11:F11"/>
    <mergeCell ref="B26:F26"/>
    <mergeCell ref="A2:I2"/>
    <mergeCell ref="A3:I3"/>
    <mergeCell ref="B4:C4"/>
    <mergeCell ref="B5:C5"/>
    <mergeCell ref="A6:I6"/>
    <mergeCell ref="A7:A9"/>
    <mergeCell ref="B7:F7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2:L1000"/>
  <sheetViews>
    <sheetView workbookViewId="0"/>
  </sheetViews>
  <sheetFormatPr baseColWidth="10" defaultColWidth="12.58203125" defaultRowHeight="15" customHeight="1"/>
  <cols>
    <col min="1" max="1" width="27.75" customWidth="1"/>
    <col min="2" max="11" width="16.58203125" customWidth="1"/>
  </cols>
  <sheetData>
    <row r="2" spans="1:12" ht="15" customHeight="1">
      <c r="A2" s="357" t="s">
        <v>133</v>
      </c>
      <c r="B2" s="342"/>
      <c r="C2" s="342"/>
      <c r="D2" s="342"/>
      <c r="E2" s="342"/>
      <c r="F2" s="342"/>
      <c r="G2" s="342"/>
      <c r="H2" s="342"/>
      <c r="I2" s="342"/>
      <c r="J2" s="342"/>
      <c r="K2" s="343"/>
    </row>
    <row r="3" spans="1:12" ht="15" customHeight="1">
      <c r="A3" s="357" t="s">
        <v>106</v>
      </c>
      <c r="B3" s="342"/>
      <c r="C3" s="342"/>
      <c r="D3" s="342"/>
      <c r="E3" s="342"/>
      <c r="F3" s="342"/>
      <c r="G3" s="342"/>
      <c r="H3" s="342"/>
      <c r="I3" s="342"/>
      <c r="J3" s="342"/>
      <c r="K3" s="343"/>
    </row>
    <row r="4" spans="1:12" ht="15" customHeight="1">
      <c r="A4" s="2" t="s">
        <v>0</v>
      </c>
      <c r="B4" s="358" t="s">
        <v>1</v>
      </c>
      <c r="C4" s="343"/>
      <c r="D4" s="2" t="s">
        <v>107</v>
      </c>
      <c r="E4" s="2" t="s">
        <v>108</v>
      </c>
      <c r="F4" s="38"/>
      <c r="G4" s="38"/>
      <c r="H4" s="38"/>
      <c r="I4" s="38"/>
      <c r="J4" s="38"/>
      <c r="K4" s="38"/>
    </row>
    <row r="5" spans="1:12" ht="15" customHeight="1">
      <c r="A5" s="6">
        <v>43671</v>
      </c>
      <c r="B5" s="359">
        <v>43885</v>
      </c>
      <c r="C5" s="343"/>
      <c r="D5" s="2" t="s">
        <v>109</v>
      </c>
      <c r="E5" s="2" t="s">
        <v>109</v>
      </c>
      <c r="F5" s="38"/>
      <c r="G5" s="38"/>
      <c r="H5" s="38"/>
      <c r="I5" s="38"/>
      <c r="J5" s="38"/>
      <c r="K5" s="38"/>
    </row>
    <row r="6" spans="1:12" ht="15" customHeight="1">
      <c r="A6" s="358" t="s">
        <v>21</v>
      </c>
      <c r="B6" s="342"/>
      <c r="C6" s="342"/>
      <c r="D6" s="342"/>
      <c r="E6" s="342"/>
      <c r="F6" s="342"/>
      <c r="G6" s="342"/>
      <c r="H6" s="342"/>
      <c r="I6" s="342"/>
      <c r="J6" s="342"/>
      <c r="K6" s="343"/>
    </row>
    <row r="7" spans="1:12" ht="15" customHeight="1">
      <c r="A7" s="360" t="s">
        <v>110</v>
      </c>
      <c r="B7" s="366" t="s">
        <v>134</v>
      </c>
      <c r="C7" s="342"/>
      <c r="D7" s="342"/>
      <c r="E7" s="342"/>
      <c r="F7" s="342"/>
      <c r="G7" s="342"/>
      <c r="H7" s="343"/>
      <c r="I7" s="33" t="s">
        <v>135</v>
      </c>
      <c r="J7" s="33" t="s">
        <v>113</v>
      </c>
      <c r="K7" s="33" t="s">
        <v>114</v>
      </c>
    </row>
    <row r="8" spans="1:12" ht="15" customHeight="1">
      <c r="A8" s="339"/>
      <c r="B8" s="96" t="s">
        <v>115</v>
      </c>
      <c r="C8" s="96" t="s">
        <v>136</v>
      </c>
      <c r="D8" s="96" t="s">
        <v>137</v>
      </c>
      <c r="E8" s="96" t="s">
        <v>117</v>
      </c>
      <c r="F8" s="96" t="s">
        <v>118</v>
      </c>
      <c r="G8" s="96" t="s">
        <v>119</v>
      </c>
      <c r="H8" s="96" t="s">
        <v>138</v>
      </c>
      <c r="I8" s="89"/>
      <c r="J8" s="89"/>
      <c r="K8" s="89"/>
    </row>
    <row r="9" spans="1:12" ht="15.5">
      <c r="A9" s="340"/>
      <c r="B9" s="97" t="s">
        <v>120</v>
      </c>
      <c r="C9" s="97" t="s">
        <v>121</v>
      </c>
      <c r="D9" s="97" t="s">
        <v>139</v>
      </c>
      <c r="E9" s="97" t="s">
        <v>122</v>
      </c>
      <c r="F9" s="97" t="s">
        <v>123</v>
      </c>
      <c r="G9" s="97" t="s">
        <v>124</v>
      </c>
      <c r="H9" s="97" t="s">
        <v>140</v>
      </c>
      <c r="I9" s="89"/>
      <c r="J9" s="89"/>
      <c r="K9" s="89"/>
    </row>
    <row r="10" spans="1:12" ht="15.5">
      <c r="A10" s="41" t="s">
        <v>5</v>
      </c>
      <c r="B10" s="98">
        <v>19000000</v>
      </c>
      <c r="C10" s="98">
        <v>6500000</v>
      </c>
      <c r="D10" s="98">
        <v>1500000</v>
      </c>
      <c r="E10" s="98">
        <v>2500000</v>
      </c>
      <c r="F10" s="98">
        <v>17000000</v>
      </c>
      <c r="G10" s="98">
        <v>3500000</v>
      </c>
      <c r="H10" s="98">
        <v>49000000</v>
      </c>
      <c r="I10" s="11">
        <f>B10+C10+D10+E10+F10+G10+H10</f>
        <v>99000000</v>
      </c>
      <c r="J10" s="89"/>
      <c r="K10" s="89"/>
    </row>
    <row r="11" spans="1:12" ht="15" customHeight="1">
      <c r="A11" s="11" t="s">
        <v>125</v>
      </c>
      <c r="B11" s="364">
        <f>B10+C10+D10+E10+F10+G10+H10</f>
        <v>99000000</v>
      </c>
      <c r="C11" s="342"/>
      <c r="D11" s="342"/>
      <c r="E11" s="342"/>
      <c r="F11" s="342"/>
      <c r="G11" s="342"/>
      <c r="H11" s="343"/>
      <c r="I11" s="89"/>
      <c r="J11" s="89"/>
      <c r="K11" s="89"/>
    </row>
    <row r="12" spans="1:12" ht="15" customHeight="1">
      <c r="A12" s="11" t="s">
        <v>33</v>
      </c>
      <c r="B12" s="364"/>
      <c r="C12" s="342"/>
      <c r="D12" s="342"/>
      <c r="E12" s="342"/>
      <c r="F12" s="342"/>
      <c r="G12" s="342"/>
      <c r="H12" s="343"/>
      <c r="I12" s="89"/>
      <c r="J12" s="94">
        <f t="shared" ref="J12:J13" si="0">I12</f>
        <v>0</v>
      </c>
      <c r="K12" s="89"/>
    </row>
    <row r="13" spans="1:12" ht="15" customHeight="1">
      <c r="A13" s="13" t="s">
        <v>141</v>
      </c>
      <c r="B13" s="99">
        <v>8868614</v>
      </c>
      <c r="C13" s="99">
        <v>1869724</v>
      </c>
      <c r="D13" s="99">
        <v>1500000</v>
      </c>
      <c r="E13" s="99">
        <v>2500000</v>
      </c>
      <c r="F13" s="99">
        <v>1346220</v>
      </c>
      <c r="G13" s="99">
        <v>71392</v>
      </c>
      <c r="H13" s="99"/>
      <c r="I13" s="89">
        <f t="shared" ref="I13:I25" si="1">B13+C13+D13+E13+F13+G13+H13</f>
        <v>16155950</v>
      </c>
      <c r="J13" s="94">
        <f t="shared" si="0"/>
        <v>16155950</v>
      </c>
      <c r="K13" s="94">
        <f t="shared" ref="K13:K24" si="2">J13/$B$11</f>
        <v>0.16319141414141414</v>
      </c>
      <c r="L13" s="188">
        <f>I13+'FERR 1616-L1-2019 (1)'!G12+'FERR 1616-L3-2019 (1)'!H13</f>
        <v>74714167</v>
      </c>
    </row>
    <row r="14" spans="1:12" ht="15" customHeight="1">
      <c r="A14" s="13" t="s">
        <v>142</v>
      </c>
      <c r="B14" s="99">
        <v>6907901</v>
      </c>
      <c r="C14" s="99">
        <v>1806224</v>
      </c>
      <c r="D14" s="99"/>
      <c r="E14" s="99"/>
      <c r="F14" s="99">
        <v>3071071</v>
      </c>
      <c r="G14" s="99">
        <v>637210</v>
      </c>
      <c r="H14" s="99"/>
      <c r="I14" s="89">
        <f t="shared" si="1"/>
        <v>12422406</v>
      </c>
      <c r="J14" s="94">
        <f t="shared" ref="J14:J24" si="3">J13+I14</f>
        <v>28578356</v>
      </c>
      <c r="K14" s="94">
        <f t="shared" si="2"/>
        <v>0.28867026262626261</v>
      </c>
      <c r="L14" s="188">
        <f>I14+'FERR 1616-L1-2019 (1)'!G13+'FERR 1616-L3-2019 (1)'!H14</f>
        <v>53410926</v>
      </c>
    </row>
    <row r="15" spans="1:12" ht="15" customHeight="1">
      <c r="A15" s="13" t="s">
        <v>143</v>
      </c>
      <c r="B15" s="99">
        <v>3223485</v>
      </c>
      <c r="C15" s="99">
        <v>2595226</v>
      </c>
      <c r="D15" s="99"/>
      <c r="E15" s="99"/>
      <c r="F15" s="99">
        <v>10369104</v>
      </c>
      <c r="G15" s="99">
        <v>307142</v>
      </c>
      <c r="H15" s="99">
        <v>34128402</v>
      </c>
      <c r="I15" s="89">
        <f t="shared" si="1"/>
        <v>50623359</v>
      </c>
      <c r="J15" s="94">
        <f t="shared" si="3"/>
        <v>79201715</v>
      </c>
      <c r="K15" s="94">
        <f t="shared" si="2"/>
        <v>0.80001732323232322</v>
      </c>
      <c r="L15" s="188">
        <f>I15+'FERR 1616-L1-2019 (1)'!G14+'FERR 1616-L3-2019 (1)'!H15</f>
        <v>97727311</v>
      </c>
    </row>
    <row r="16" spans="1:12" ht="15" customHeight="1">
      <c r="A16" s="13" t="s">
        <v>129</v>
      </c>
      <c r="B16" s="99"/>
      <c r="C16" s="99">
        <v>228826</v>
      </c>
      <c r="D16" s="99"/>
      <c r="E16" s="99"/>
      <c r="F16" s="99">
        <v>2213605</v>
      </c>
      <c r="G16" s="99">
        <v>2484256</v>
      </c>
      <c r="H16" s="99"/>
      <c r="I16" s="89">
        <f t="shared" si="1"/>
        <v>4926687</v>
      </c>
      <c r="J16" s="94">
        <f t="shared" si="3"/>
        <v>84128402</v>
      </c>
      <c r="K16" s="94">
        <f t="shared" si="2"/>
        <v>0.84978183838383836</v>
      </c>
      <c r="L16" s="188">
        <f>I16+'FERR 1616-L1-2019 (1)'!G15+'FERR 1616-L3-2019 (1)'!H16</f>
        <v>21777937</v>
      </c>
    </row>
    <row r="17" spans="1:12" ht="15" customHeight="1">
      <c r="A17" s="13" t="s">
        <v>130</v>
      </c>
      <c r="B17" s="99"/>
      <c r="C17" s="99"/>
      <c r="D17" s="99"/>
      <c r="E17" s="99"/>
      <c r="F17" s="99"/>
      <c r="G17" s="99"/>
      <c r="H17" s="99"/>
      <c r="I17" s="89">
        <f t="shared" si="1"/>
        <v>0</v>
      </c>
      <c r="J17" s="94">
        <f t="shared" si="3"/>
        <v>84128402</v>
      </c>
      <c r="K17" s="94">
        <f t="shared" si="2"/>
        <v>0.84978183838383836</v>
      </c>
      <c r="L17" s="188">
        <f>I17+'FERR 1616-L1-2019 (1)'!G16+'FERR 1616-L3-2019 (1)'!H17</f>
        <v>0</v>
      </c>
    </row>
    <row r="18" spans="1:12" ht="15" customHeight="1">
      <c r="A18" s="13" t="s">
        <v>131</v>
      </c>
      <c r="B18" s="99"/>
      <c r="C18" s="99"/>
      <c r="D18" s="99"/>
      <c r="E18" s="99"/>
      <c r="F18" s="99"/>
      <c r="G18" s="99"/>
      <c r="H18" s="99"/>
      <c r="I18" s="89">
        <f t="shared" si="1"/>
        <v>0</v>
      </c>
      <c r="J18" s="94">
        <f t="shared" si="3"/>
        <v>84128402</v>
      </c>
      <c r="K18" s="94">
        <f t="shared" si="2"/>
        <v>0.84978183838383836</v>
      </c>
      <c r="L18" s="188">
        <f>I18+'FERR 1616-L1-2019 (1)'!G17+'FERR 1616-L3-2019 (1)'!H18</f>
        <v>0</v>
      </c>
    </row>
    <row r="19" spans="1:12" ht="15" customHeight="1">
      <c r="A19" s="13" t="s">
        <v>132</v>
      </c>
      <c r="B19" s="99"/>
      <c r="C19" s="99"/>
      <c r="D19" s="99"/>
      <c r="E19" s="99"/>
      <c r="F19" s="99"/>
      <c r="G19" s="99"/>
      <c r="H19" s="99"/>
      <c r="I19" s="89">
        <f t="shared" si="1"/>
        <v>0</v>
      </c>
      <c r="J19" s="94">
        <f t="shared" si="3"/>
        <v>84128402</v>
      </c>
      <c r="K19" s="94">
        <f t="shared" si="2"/>
        <v>0.84978183838383836</v>
      </c>
      <c r="L19" s="188">
        <f>352000000-L13-L14-L15-L16</f>
        <v>104369659</v>
      </c>
    </row>
    <row r="20" spans="1:12" ht="15" customHeight="1">
      <c r="A20" s="13" t="s">
        <v>29</v>
      </c>
      <c r="B20" s="99"/>
      <c r="C20" s="99"/>
      <c r="D20" s="99"/>
      <c r="E20" s="99"/>
      <c r="F20" s="99"/>
      <c r="G20" s="99"/>
      <c r="H20" s="99"/>
      <c r="I20" s="89">
        <f t="shared" si="1"/>
        <v>0</v>
      </c>
      <c r="J20" s="94">
        <f t="shared" si="3"/>
        <v>84128402</v>
      </c>
      <c r="K20" s="94">
        <f t="shared" si="2"/>
        <v>0.84978183838383836</v>
      </c>
    </row>
    <row r="21" spans="1:12" ht="15" customHeight="1">
      <c r="A21" s="13" t="s">
        <v>30</v>
      </c>
      <c r="B21" s="99"/>
      <c r="C21" s="99"/>
      <c r="D21" s="99"/>
      <c r="E21" s="99"/>
      <c r="F21" s="99"/>
      <c r="G21" s="99"/>
      <c r="H21" s="99"/>
      <c r="I21" s="89">
        <f t="shared" si="1"/>
        <v>0</v>
      </c>
      <c r="J21" s="94">
        <f t="shared" si="3"/>
        <v>84128402</v>
      </c>
      <c r="K21" s="94">
        <f t="shared" si="2"/>
        <v>0.84978183838383836</v>
      </c>
    </row>
    <row r="22" spans="1:12" ht="15" customHeight="1">
      <c r="A22" s="13" t="s">
        <v>17</v>
      </c>
      <c r="B22" s="99"/>
      <c r="C22" s="99"/>
      <c r="D22" s="99"/>
      <c r="E22" s="99"/>
      <c r="F22" s="99"/>
      <c r="G22" s="99"/>
      <c r="H22" s="99"/>
      <c r="I22" s="89">
        <f t="shared" si="1"/>
        <v>0</v>
      </c>
      <c r="J22" s="94">
        <f t="shared" si="3"/>
        <v>84128402</v>
      </c>
      <c r="K22" s="94">
        <f t="shared" si="2"/>
        <v>0.84978183838383836</v>
      </c>
    </row>
    <row r="23" spans="1:12" ht="15" customHeight="1">
      <c r="A23" s="13" t="s">
        <v>31</v>
      </c>
      <c r="B23" s="99"/>
      <c r="C23" s="99"/>
      <c r="D23" s="99"/>
      <c r="E23" s="99"/>
      <c r="F23" s="99"/>
      <c r="G23" s="99"/>
      <c r="H23" s="99"/>
      <c r="I23" s="89">
        <f t="shared" si="1"/>
        <v>0</v>
      </c>
      <c r="J23" s="94">
        <f t="shared" si="3"/>
        <v>84128402</v>
      </c>
      <c r="K23" s="94">
        <f t="shared" si="2"/>
        <v>0.84978183838383836</v>
      </c>
    </row>
    <row r="24" spans="1:12" ht="15.75" customHeight="1">
      <c r="A24" s="13" t="s">
        <v>32</v>
      </c>
      <c r="B24" s="98"/>
      <c r="C24" s="98"/>
      <c r="D24" s="98"/>
      <c r="E24" s="98"/>
      <c r="F24" s="98"/>
      <c r="G24" s="98"/>
      <c r="H24" s="98"/>
      <c r="I24" s="89">
        <f t="shared" si="1"/>
        <v>0</v>
      </c>
      <c r="J24" s="94">
        <f t="shared" si="3"/>
        <v>84128402</v>
      </c>
      <c r="K24" s="94">
        <f t="shared" si="2"/>
        <v>0.84978183838383836</v>
      </c>
    </row>
    <row r="25" spans="1:12" ht="15.75" customHeight="1">
      <c r="A25" s="11" t="s">
        <v>11</v>
      </c>
      <c r="B25" s="95">
        <f t="shared" ref="B25:H25" si="4">SUM(B13:B24)</f>
        <v>19000000</v>
      </c>
      <c r="C25" s="95">
        <f t="shared" si="4"/>
        <v>6500000</v>
      </c>
      <c r="D25" s="95">
        <f t="shared" si="4"/>
        <v>1500000</v>
      </c>
      <c r="E25" s="95">
        <f t="shared" si="4"/>
        <v>2500000</v>
      </c>
      <c r="F25" s="95">
        <f t="shared" si="4"/>
        <v>17000000</v>
      </c>
      <c r="G25" s="95">
        <f t="shared" si="4"/>
        <v>3500000</v>
      </c>
      <c r="H25" s="95">
        <f t="shared" si="4"/>
        <v>34128402</v>
      </c>
      <c r="I25" s="95">
        <f t="shared" si="1"/>
        <v>84128402</v>
      </c>
      <c r="J25" s="94"/>
      <c r="K25" s="94"/>
    </row>
    <row r="26" spans="1:12" ht="15.75" customHeight="1">
      <c r="A26" s="11" t="s">
        <v>12</v>
      </c>
      <c r="B26" s="95">
        <f t="shared" ref="B26:H26" si="5">B10-B25</f>
        <v>0</v>
      </c>
      <c r="C26" s="95">
        <f t="shared" si="5"/>
        <v>0</v>
      </c>
      <c r="D26" s="95">
        <f t="shared" si="5"/>
        <v>0</v>
      </c>
      <c r="E26" s="95">
        <f t="shared" si="5"/>
        <v>0</v>
      </c>
      <c r="F26" s="95">
        <f t="shared" si="5"/>
        <v>0</v>
      </c>
      <c r="G26" s="95">
        <f t="shared" si="5"/>
        <v>0</v>
      </c>
      <c r="H26" s="95">
        <f t="shared" si="5"/>
        <v>14871598</v>
      </c>
      <c r="I26" s="89"/>
      <c r="J26" s="94"/>
      <c r="K26" s="94"/>
      <c r="L26" s="188"/>
    </row>
    <row r="27" spans="1:12" ht="15" customHeight="1">
      <c r="A27" s="11" t="s">
        <v>13</v>
      </c>
      <c r="B27" s="361">
        <f>B26+C26+D26+E26+F26+G26+H26</f>
        <v>14871598</v>
      </c>
      <c r="C27" s="342"/>
      <c r="D27" s="342"/>
      <c r="E27" s="342"/>
      <c r="F27" s="342"/>
      <c r="G27" s="342"/>
      <c r="H27" s="343"/>
      <c r="I27" s="1"/>
      <c r="J27" s="7"/>
      <c r="K27" s="7"/>
      <c r="L27" s="188"/>
    </row>
    <row r="28" spans="1:12" ht="15" customHeight="1">
      <c r="L28" s="188"/>
    </row>
    <row r="29" spans="1:12" ht="15.75" customHeight="1">
      <c r="L29" s="188"/>
    </row>
    <row r="30" spans="1:12" ht="15.75" customHeight="1">
      <c r="A30" s="37" t="s">
        <v>144</v>
      </c>
      <c r="B30" s="188">
        <f>B10+'FERR 1616-L1-2019 (1)'!B10+'FERR 1616-L3-2019 (1)'!B10</f>
        <v>103000000</v>
      </c>
      <c r="C30" s="188">
        <f>C10+'FERR 1616-L1-2019 (1)'!C10+'FERR 1616-L3-2019 (1)'!C10</f>
        <v>30500000</v>
      </c>
      <c r="D30" s="188">
        <f>D10</f>
        <v>1500000</v>
      </c>
      <c r="E30" s="188">
        <f>E10+'FERR 1616-L1-2019 (1)'!D10+'FERR 1616-L3-2019 (1)'!D10</f>
        <v>23000000</v>
      </c>
      <c r="F30" s="188">
        <f>F10+'FERR 1616-L1-2019 (1)'!E10+'FERR 1616-L3-2019 (1)'!E10</f>
        <v>128000000</v>
      </c>
      <c r="G30" s="188">
        <f>G10+'FERR 1616-L1-2019 (1)'!F10+'FERR 1616-L3-2019 (1)'!F10</f>
        <v>16000000</v>
      </c>
      <c r="H30" s="188">
        <f>H10+'FERR 1616-L3-2019 (1)'!G10</f>
        <v>50000000</v>
      </c>
      <c r="I30" s="188">
        <f>B30+C30+D30+E30+F30+G30+H30</f>
        <v>352000000</v>
      </c>
      <c r="L30" s="188"/>
    </row>
    <row r="31" spans="1:12" ht="15.75" customHeight="1">
      <c r="A31" s="37" t="s">
        <v>145</v>
      </c>
      <c r="B31" s="188">
        <f>B11+'FERR 1616-L1-2019 (1)'!B11+'FERR 1616-L3-2019 (1)'!B11</f>
        <v>352000000</v>
      </c>
      <c r="L31" s="188"/>
    </row>
    <row r="32" spans="1:12" ht="15.75" customHeight="1">
      <c r="A32" s="37" t="s">
        <v>146</v>
      </c>
      <c r="B32" s="188">
        <f>I25+'FERR 1616-L1-2019 (1)'!G24+'FERR 1616-L3-2019 (1)'!H25</f>
        <v>247630341</v>
      </c>
      <c r="E32" s="188"/>
      <c r="F32" s="188"/>
    </row>
    <row r="33" spans="1:9" ht="15.75" customHeight="1">
      <c r="A33" s="37" t="s">
        <v>13</v>
      </c>
      <c r="B33" s="188">
        <f>B31-B32</f>
        <v>104369659</v>
      </c>
      <c r="E33" s="188"/>
    </row>
    <row r="34" spans="1:9" ht="15.75" customHeight="1">
      <c r="B34" s="188"/>
      <c r="C34" s="188"/>
      <c r="D34" s="188"/>
      <c r="E34" s="188"/>
      <c r="F34" s="188"/>
      <c r="G34" s="188"/>
      <c r="H34" s="188"/>
      <c r="I34" s="188"/>
    </row>
    <row r="35" spans="1:9" ht="15.75" customHeight="1">
      <c r="A35" s="37" t="s">
        <v>147</v>
      </c>
      <c r="B35" s="190">
        <f t="shared" ref="B35:H35" si="6">B30/2</f>
        <v>51500000</v>
      </c>
      <c r="C35" s="190">
        <f t="shared" si="6"/>
        <v>15250000</v>
      </c>
      <c r="D35" s="190">
        <f t="shared" si="6"/>
        <v>750000</v>
      </c>
      <c r="E35" s="188">
        <f t="shared" si="6"/>
        <v>11500000</v>
      </c>
      <c r="F35" s="190">
        <f t="shared" si="6"/>
        <v>64000000</v>
      </c>
      <c r="G35" s="190">
        <f t="shared" si="6"/>
        <v>8000000</v>
      </c>
      <c r="H35" s="190">
        <f t="shared" si="6"/>
        <v>25000000</v>
      </c>
      <c r="I35" s="188"/>
    </row>
    <row r="36" spans="1:9" ht="15.75" customHeight="1">
      <c r="A36" s="37" t="s">
        <v>148</v>
      </c>
      <c r="B36" s="188">
        <f>B35+C35+D35+E35+F35+G35+H35+I35</f>
        <v>176000000</v>
      </c>
      <c r="C36" s="188"/>
      <c r="D36" s="188"/>
      <c r="E36" s="188"/>
      <c r="F36" s="188"/>
      <c r="G36" s="188"/>
      <c r="H36" s="188"/>
      <c r="I36" s="188"/>
    </row>
    <row r="37" spans="1:9" ht="15.75" customHeight="1"/>
    <row r="38" spans="1:9" ht="15.75" customHeight="1"/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11:H11"/>
    <mergeCell ref="B12:H12"/>
    <mergeCell ref="B27:H27"/>
    <mergeCell ref="A2:K2"/>
    <mergeCell ref="A3:K3"/>
    <mergeCell ref="B4:C4"/>
    <mergeCell ref="B5:C5"/>
    <mergeCell ref="A6:K6"/>
    <mergeCell ref="A7:A9"/>
    <mergeCell ref="B7:H7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2:J1000"/>
  <sheetViews>
    <sheetView workbookViewId="0"/>
  </sheetViews>
  <sheetFormatPr baseColWidth="10" defaultColWidth="12.58203125" defaultRowHeight="15" customHeight="1"/>
  <cols>
    <col min="1" max="1" width="27.75" customWidth="1"/>
    <col min="2" max="10" width="16.58203125" customWidth="1"/>
  </cols>
  <sheetData>
    <row r="2" spans="1:10" ht="15" customHeight="1">
      <c r="A2" s="357" t="s">
        <v>149</v>
      </c>
      <c r="B2" s="342"/>
      <c r="C2" s="342"/>
      <c r="D2" s="342"/>
      <c r="E2" s="342"/>
      <c r="F2" s="342"/>
      <c r="G2" s="342"/>
      <c r="H2" s="342"/>
      <c r="I2" s="342"/>
      <c r="J2" s="343"/>
    </row>
    <row r="3" spans="1:10" ht="15" customHeight="1">
      <c r="A3" s="357" t="s">
        <v>106</v>
      </c>
      <c r="B3" s="342"/>
      <c r="C3" s="342"/>
      <c r="D3" s="342"/>
      <c r="E3" s="342"/>
      <c r="F3" s="342"/>
      <c r="G3" s="342"/>
      <c r="H3" s="342"/>
      <c r="I3" s="342"/>
      <c r="J3" s="343"/>
    </row>
    <row r="4" spans="1:10" ht="15" customHeight="1">
      <c r="A4" s="2" t="s">
        <v>0</v>
      </c>
      <c r="B4" s="358" t="s">
        <v>1</v>
      </c>
      <c r="C4" s="343"/>
      <c r="D4" s="2" t="s">
        <v>107</v>
      </c>
      <c r="E4" s="2" t="s">
        <v>108</v>
      </c>
      <c r="F4" s="38"/>
      <c r="G4" s="38"/>
      <c r="H4" s="38"/>
      <c r="I4" s="38"/>
      <c r="J4" s="38"/>
    </row>
    <row r="5" spans="1:10" ht="15" customHeight="1">
      <c r="A5" s="6">
        <v>43671</v>
      </c>
      <c r="B5" s="359">
        <v>43885</v>
      </c>
      <c r="C5" s="343"/>
      <c r="D5" s="2" t="s">
        <v>109</v>
      </c>
      <c r="E5" s="2" t="s">
        <v>109</v>
      </c>
      <c r="F5" s="38"/>
      <c r="G5" s="38"/>
      <c r="H5" s="38"/>
      <c r="I5" s="38"/>
      <c r="J5" s="38"/>
    </row>
    <row r="6" spans="1:10" ht="15" customHeight="1">
      <c r="A6" s="358" t="s">
        <v>21</v>
      </c>
      <c r="B6" s="342"/>
      <c r="C6" s="342"/>
      <c r="D6" s="342"/>
      <c r="E6" s="342"/>
      <c r="F6" s="342"/>
      <c r="G6" s="342"/>
      <c r="H6" s="342"/>
      <c r="I6" s="342"/>
      <c r="J6" s="343"/>
    </row>
    <row r="7" spans="1:10" ht="15" customHeight="1">
      <c r="A7" s="360" t="s">
        <v>110</v>
      </c>
      <c r="B7" s="368" t="s">
        <v>150</v>
      </c>
      <c r="C7" s="342"/>
      <c r="D7" s="342"/>
      <c r="E7" s="342"/>
      <c r="F7" s="342"/>
      <c r="G7" s="343"/>
      <c r="H7" s="33" t="s">
        <v>135</v>
      </c>
      <c r="I7" s="33" t="s">
        <v>113</v>
      </c>
      <c r="J7" s="33" t="s">
        <v>114</v>
      </c>
    </row>
    <row r="8" spans="1:10" ht="15" customHeight="1">
      <c r="A8" s="339"/>
      <c r="B8" s="101" t="s">
        <v>115</v>
      </c>
      <c r="C8" s="101" t="s">
        <v>116</v>
      </c>
      <c r="D8" s="101" t="s">
        <v>117</v>
      </c>
      <c r="E8" s="101" t="s">
        <v>118</v>
      </c>
      <c r="F8" s="101" t="s">
        <v>119</v>
      </c>
      <c r="G8" s="101" t="s">
        <v>138</v>
      </c>
      <c r="H8" s="89"/>
      <c r="I8" s="89"/>
      <c r="J8" s="89"/>
    </row>
    <row r="9" spans="1:10" ht="15.5">
      <c r="A9" s="340"/>
      <c r="B9" s="102" t="s">
        <v>120</v>
      </c>
      <c r="C9" s="102" t="s">
        <v>121</v>
      </c>
      <c r="D9" s="102" t="s">
        <v>122</v>
      </c>
      <c r="E9" s="102" t="s">
        <v>123</v>
      </c>
      <c r="F9" s="102" t="s">
        <v>124</v>
      </c>
      <c r="G9" s="102" t="s">
        <v>140</v>
      </c>
      <c r="H9" s="89"/>
      <c r="I9" s="89"/>
      <c r="J9" s="89"/>
    </row>
    <row r="10" spans="1:10" ht="15.5">
      <c r="A10" s="41" t="s">
        <v>5</v>
      </c>
      <c r="B10" s="103">
        <v>65000000</v>
      </c>
      <c r="C10" s="103">
        <v>21000000</v>
      </c>
      <c r="D10" s="103">
        <v>18500000</v>
      </c>
      <c r="E10" s="103">
        <v>90500000</v>
      </c>
      <c r="F10" s="103">
        <v>11500000</v>
      </c>
      <c r="G10" s="103">
        <v>1000000</v>
      </c>
      <c r="H10" s="11">
        <f>B10+C10+D10+E10+F10+G10</f>
        <v>207500000</v>
      </c>
      <c r="I10" s="89"/>
      <c r="J10" s="89"/>
    </row>
    <row r="11" spans="1:10" ht="15" customHeight="1">
      <c r="A11" s="11" t="s">
        <v>125</v>
      </c>
      <c r="B11" s="387">
        <f>B10+C10+D10+E10+F10+G10</f>
        <v>207500000</v>
      </c>
      <c r="C11" s="342"/>
      <c r="D11" s="342"/>
      <c r="E11" s="342"/>
      <c r="F11" s="342"/>
      <c r="G11" s="343"/>
      <c r="H11" s="89"/>
      <c r="I11" s="89"/>
      <c r="J11" s="89"/>
    </row>
    <row r="12" spans="1:10" ht="15" customHeight="1">
      <c r="A12" s="11" t="s">
        <v>33</v>
      </c>
      <c r="B12" s="364"/>
      <c r="C12" s="342"/>
      <c r="D12" s="342"/>
      <c r="E12" s="342"/>
      <c r="F12" s="342"/>
      <c r="G12" s="343"/>
      <c r="H12" s="89"/>
      <c r="I12" s="94">
        <f t="shared" ref="I12:I13" si="0">H12</f>
        <v>0</v>
      </c>
      <c r="J12" s="89"/>
    </row>
    <row r="13" spans="1:10" ht="15" customHeight="1">
      <c r="A13" s="13" t="s">
        <v>151</v>
      </c>
      <c r="B13" s="104">
        <v>8905857</v>
      </c>
      <c r="C13" s="104">
        <v>2825560</v>
      </c>
      <c r="D13" s="104">
        <v>18500000</v>
      </c>
      <c r="E13" s="104">
        <v>8502181</v>
      </c>
      <c r="F13" s="104">
        <v>2204550</v>
      </c>
      <c r="G13" s="104"/>
      <c r="H13" s="89">
        <f t="shared" ref="H13:H26" si="1">B13+C13+D13+E13+F13+G13</f>
        <v>40938148</v>
      </c>
      <c r="I13" s="94">
        <f t="shared" si="0"/>
        <v>40938148</v>
      </c>
      <c r="J13" s="94">
        <f t="shared" ref="J13:J24" si="2">I13/$B$11</f>
        <v>0.19729227951807229</v>
      </c>
    </row>
    <row r="14" spans="1:10" ht="15" customHeight="1">
      <c r="A14" s="13" t="s">
        <v>152</v>
      </c>
      <c r="B14" s="104">
        <v>16712673</v>
      </c>
      <c r="C14" s="104">
        <v>7968970</v>
      </c>
      <c r="D14" s="104"/>
      <c r="E14" s="104">
        <v>6690710</v>
      </c>
      <c r="F14" s="104">
        <v>3828970</v>
      </c>
      <c r="G14" s="104"/>
      <c r="H14" s="89">
        <f t="shared" si="1"/>
        <v>35201323</v>
      </c>
      <c r="I14" s="94">
        <f t="shared" ref="I14:I24" si="3">I13+H14</f>
        <v>76139471</v>
      </c>
      <c r="J14" s="94">
        <f t="shared" si="2"/>
        <v>0.3669372096385542</v>
      </c>
    </row>
    <row r="15" spans="1:10" ht="15" customHeight="1">
      <c r="A15" s="13" t="s">
        <v>153</v>
      </c>
      <c r="B15" s="104">
        <v>22461619</v>
      </c>
      <c r="C15" s="104">
        <v>9912879</v>
      </c>
      <c r="D15" s="104"/>
      <c r="E15" s="104">
        <v>1044753</v>
      </c>
      <c r="F15" s="104">
        <v>5172064</v>
      </c>
      <c r="G15" s="104">
        <v>1000000</v>
      </c>
      <c r="H15" s="89">
        <f t="shared" si="1"/>
        <v>39591315</v>
      </c>
      <c r="I15" s="94">
        <f t="shared" si="3"/>
        <v>115730786</v>
      </c>
      <c r="J15" s="94">
        <f t="shared" si="2"/>
        <v>0.55773872771084332</v>
      </c>
    </row>
    <row r="16" spans="1:10" ht="15" customHeight="1">
      <c r="A16" s="13" t="s">
        <v>129</v>
      </c>
      <c r="B16" s="104">
        <v>2759560</v>
      </c>
      <c r="C16" s="104">
        <v>292591</v>
      </c>
      <c r="D16" s="104"/>
      <c r="E16" s="104">
        <v>5785368</v>
      </c>
      <c r="F16" s="104">
        <v>294416</v>
      </c>
      <c r="G16" s="104"/>
      <c r="H16" s="89">
        <f t="shared" si="1"/>
        <v>9131935</v>
      </c>
      <c r="I16" s="94">
        <f t="shared" si="3"/>
        <v>124862721</v>
      </c>
      <c r="J16" s="94">
        <f t="shared" si="2"/>
        <v>0.60174805301204815</v>
      </c>
    </row>
    <row r="17" spans="1:10" ht="15" customHeight="1">
      <c r="A17" s="13" t="s">
        <v>130</v>
      </c>
      <c r="B17" s="104"/>
      <c r="C17" s="104"/>
      <c r="D17" s="104"/>
      <c r="E17" s="104"/>
      <c r="F17" s="104"/>
      <c r="G17" s="104"/>
      <c r="H17" s="89">
        <f t="shared" si="1"/>
        <v>0</v>
      </c>
      <c r="I17" s="94">
        <f t="shared" si="3"/>
        <v>124862721</v>
      </c>
      <c r="J17" s="94">
        <f t="shared" si="2"/>
        <v>0.60174805301204815</v>
      </c>
    </row>
    <row r="18" spans="1:10" ht="15" customHeight="1">
      <c r="A18" s="13" t="s">
        <v>131</v>
      </c>
      <c r="B18" s="104"/>
      <c r="C18" s="104"/>
      <c r="D18" s="104"/>
      <c r="E18" s="104"/>
      <c r="F18" s="104"/>
      <c r="G18" s="104"/>
      <c r="H18" s="89">
        <f t="shared" si="1"/>
        <v>0</v>
      </c>
      <c r="I18" s="94">
        <f t="shared" si="3"/>
        <v>124862721</v>
      </c>
      <c r="J18" s="94">
        <f t="shared" si="2"/>
        <v>0.60174805301204815</v>
      </c>
    </row>
    <row r="19" spans="1:10" ht="15" customHeight="1">
      <c r="A19" s="13" t="s">
        <v>132</v>
      </c>
      <c r="B19" s="104"/>
      <c r="C19" s="104"/>
      <c r="D19" s="104"/>
      <c r="E19" s="104"/>
      <c r="F19" s="104"/>
      <c r="G19" s="104"/>
      <c r="H19" s="89">
        <f t="shared" si="1"/>
        <v>0</v>
      </c>
      <c r="I19" s="94">
        <f t="shared" si="3"/>
        <v>124862721</v>
      </c>
      <c r="J19" s="94">
        <f t="shared" si="2"/>
        <v>0.60174805301204815</v>
      </c>
    </row>
    <row r="20" spans="1:10" ht="15" customHeight="1">
      <c r="A20" s="13" t="s">
        <v>29</v>
      </c>
      <c r="B20" s="104"/>
      <c r="C20" s="104"/>
      <c r="D20" s="104"/>
      <c r="E20" s="104"/>
      <c r="F20" s="104"/>
      <c r="G20" s="104"/>
      <c r="H20" s="89">
        <f t="shared" si="1"/>
        <v>0</v>
      </c>
      <c r="I20" s="94">
        <f t="shared" si="3"/>
        <v>124862721</v>
      </c>
      <c r="J20" s="94">
        <f t="shared" si="2"/>
        <v>0.60174805301204815</v>
      </c>
    </row>
    <row r="21" spans="1:10" ht="15" customHeight="1">
      <c r="A21" s="13" t="s">
        <v>30</v>
      </c>
      <c r="B21" s="104"/>
      <c r="C21" s="104"/>
      <c r="D21" s="104"/>
      <c r="E21" s="104"/>
      <c r="F21" s="104"/>
      <c r="G21" s="104"/>
      <c r="H21" s="89">
        <f t="shared" si="1"/>
        <v>0</v>
      </c>
      <c r="I21" s="94">
        <f t="shared" si="3"/>
        <v>124862721</v>
      </c>
      <c r="J21" s="94">
        <f t="shared" si="2"/>
        <v>0.60174805301204815</v>
      </c>
    </row>
    <row r="22" spans="1:10" ht="15" customHeight="1">
      <c r="A22" s="13" t="s">
        <v>17</v>
      </c>
      <c r="B22" s="104"/>
      <c r="C22" s="104"/>
      <c r="D22" s="104"/>
      <c r="E22" s="104"/>
      <c r="F22" s="104"/>
      <c r="G22" s="104"/>
      <c r="H22" s="89">
        <f t="shared" si="1"/>
        <v>0</v>
      </c>
      <c r="I22" s="94">
        <f t="shared" si="3"/>
        <v>124862721</v>
      </c>
      <c r="J22" s="94">
        <f t="shared" si="2"/>
        <v>0.60174805301204815</v>
      </c>
    </row>
    <row r="23" spans="1:10" ht="15" customHeight="1">
      <c r="A23" s="13" t="s">
        <v>31</v>
      </c>
      <c r="B23" s="104"/>
      <c r="C23" s="104"/>
      <c r="D23" s="104"/>
      <c r="E23" s="104"/>
      <c r="F23" s="104"/>
      <c r="G23" s="104"/>
      <c r="H23" s="89">
        <f t="shared" si="1"/>
        <v>0</v>
      </c>
      <c r="I23" s="94">
        <f t="shared" si="3"/>
        <v>124862721</v>
      </c>
      <c r="J23" s="94">
        <f t="shared" si="2"/>
        <v>0.60174805301204815</v>
      </c>
    </row>
    <row r="24" spans="1:10" ht="15.75" customHeight="1">
      <c r="A24" s="13" t="s">
        <v>32</v>
      </c>
      <c r="B24" s="103"/>
      <c r="C24" s="103"/>
      <c r="D24" s="103"/>
      <c r="E24" s="103"/>
      <c r="F24" s="103"/>
      <c r="G24" s="104"/>
      <c r="H24" s="89">
        <f t="shared" si="1"/>
        <v>0</v>
      </c>
      <c r="I24" s="94">
        <f t="shared" si="3"/>
        <v>124862721</v>
      </c>
      <c r="J24" s="94">
        <f t="shared" si="2"/>
        <v>0.60174805301204815</v>
      </c>
    </row>
    <row r="25" spans="1:10" ht="15.75" customHeight="1">
      <c r="A25" s="11" t="s">
        <v>11</v>
      </c>
      <c r="B25" s="95">
        <f t="shared" ref="B25:G25" si="4">SUM(B13:B24)</f>
        <v>50839709</v>
      </c>
      <c r="C25" s="95">
        <f t="shared" si="4"/>
        <v>21000000</v>
      </c>
      <c r="D25" s="95">
        <f t="shared" si="4"/>
        <v>18500000</v>
      </c>
      <c r="E25" s="95">
        <f t="shared" si="4"/>
        <v>22023012</v>
      </c>
      <c r="F25" s="95">
        <f t="shared" si="4"/>
        <v>11500000</v>
      </c>
      <c r="G25" s="95">
        <f t="shared" si="4"/>
        <v>1000000</v>
      </c>
      <c r="H25" s="95">
        <f t="shared" si="1"/>
        <v>124862721</v>
      </c>
      <c r="I25" s="94"/>
      <c r="J25" s="94"/>
    </row>
    <row r="26" spans="1:10" ht="15.75" customHeight="1">
      <c r="A26" s="11" t="s">
        <v>12</v>
      </c>
      <c r="B26" s="95">
        <f t="shared" ref="B26:G26" si="5">B10-B25</f>
        <v>14160291</v>
      </c>
      <c r="C26" s="95">
        <f t="shared" si="5"/>
        <v>0</v>
      </c>
      <c r="D26" s="95">
        <f t="shared" si="5"/>
        <v>0</v>
      </c>
      <c r="E26" s="95">
        <f t="shared" si="5"/>
        <v>68476988</v>
      </c>
      <c r="F26" s="95">
        <f t="shared" si="5"/>
        <v>0</v>
      </c>
      <c r="G26" s="95">
        <f t="shared" si="5"/>
        <v>0</v>
      </c>
      <c r="H26" s="95">
        <f t="shared" si="1"/>
        <v>82637279</v>
      </c>
      <c r="I26" s="94"/>
      <c r="J26" s="94"/>
    </row>
    <row r="27" spans="1:10" ht="15" customHeight="1">
      <c r="A27" s="11" t="s">
        <v>13</v>
      </c>
      <c r="B27" s="361">
        <f>B26+C26+D26+E26+F26+G26</f>
        <v>82637279</v>
      </c>
      <c r="C27" s="342"/>
      <c r="D27" s="342"/>
      <c r="E27" s="342"/>
      <c r="F27" s="342"/>
      <c r="G27" s="343"/>
      <c r="H27" s="1"/>
      <c r="I27" s="7"/>
      <c r="J27" s="7"/>
    </row>
    <row r="28" spans="1:10" ht="15.75" customHeight="1"/>
    <row r="29" spans="1:10" ht="15.75" customHeight="1">
      <c r="C29" s="188"/>
    </row>
    <row r="30" spans="1:10" ht="15.75" customHeight="1"/>
    <row r="31" spans="1:10" ht="15.75" customHeight="1">
      <c r="B31" s="35"/>
      <c r="C31" s="35"/>
      <c r="D31" s="35"/>
      <c r="E31" s="35"/>
      <c r="F31" s="35"/>
      <c r="G31" s="35"/>
    </row>
    <row r="32" spans="1:10" ht="15.75" customHeight="1">
      <c r="B32" s="35"/>
      <c r="C32" s="35"/>
      <c r="D32" s="35"/>
      <c r="E32" s="35"/>
      <c r="F32" s="35"/>
      <c r="G32" s="35"/>
    </row>
    <row r="33" spans="3:7" ht="15.75" customHeight="1">
      <c r="C33" s="35"/>
      <c r="G33" s="188"/>
    </row>
    <row r="34" spans="3:7" ht="15.75" customHeight="1">
      <c r="G34" s="188"/>
    </row>
    <row r="35" spans="3:7" ht="15.75" customHeight="1">
      <c r="G35" s="188"/>
    </row>
    <row r="36" spans="3:7" ht="15.75" customHeight="1">
      <c r="G36" s="188"/>
    </row>
    <row r="37" spans="3:7" ht="15.75" customHeight="1"/>
    <row r="38" spans="3:7" ht="15.75" customHeight="1"/>
    <row r="39" spans="3:7" ht="15.75" customHeight="1"/>
    <row r="40" spans="3:7" ht="15.75" customHeight="1"/>
    <row r="41" spans="3:7" ht="15.75" customHeight="1"/>
    <row r="42" spans="3:7" ht="15.75" customHeight="1"/>
    <row r="43" spans="3:7" ht="15.75" customHeight="1"/>
    <row r="44" spans="3:7" ht="15.75" customHeight="1"/>
    <row r="45" spans="3:7" ht="15.75" customHeight="1"/>
    <row r="46" spans="3:7" ht="15.75" customHeight="1"/>
    <row r="47" spans="3:7" ht="15.75" customHeight="1"/>
    <row r="48" spans="3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11:G11"/>
    <mergeCell ref="B12:G12"/>
    <mergeCell ref="B27:G27"/>
    <mergeCell ref="A2:J2"/>
    <mergeCell ref="A3:J3"/>
    <mergeCell ref="B4:C4"/>
    <mergeCell ref="B5:C5"/>
    <mergeCell ref="A6:J6"/>
    <mergeCell ref="A7:A9"/>
    <mergeCell ref="B7:G7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Z1000"/>
  <sheetViews>
    <sheetView workbookViewId="0"/>
  </sheetViews>
  <sheetFormatPr baseColWidth="10" defaultColWidth="12.58203125" defaultRowHeight="15" customHeight="1"/>
  <cols>
    <col min="1" max="1" width="19.5" customWidth="1"/>
    <col min="2" max="2" width="34.08203125" customWidth="1"/>
    <col min="3" max="3" width="18.08203125" customWidth="1"/>
    <col min="4" max="4" width="17.25" customWidth="1"/>
    <col min="5" max="5" width="18.08203125" customWidth="1"/>
    <col min="6" max="6" width="15.5" customWidth="1"/>
    <col min="7" max="7" width="13.33203125" customWidth="1"/>
    <col min="8" max="8" width="12.5" customWidth="1"/>
    <col min="9" max="9" width="9.83203125" customWidth="1"/>
    <col min="10" max="10" width="8.58203125" customWidth="1"/>
    <col min="11" max="11" width="11.75" customWidth="1"/>
    <col min="12" max="19" width="8.58203125" customWidth="1"/>
    <col min="20" max="22" width="12.58203125" customWidth="1"/>
  </cols>
  <sheetData>
    <row r="1" spans="1:26" ht="14.25" customHeight="1">
      <c r="A1" s="5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50"/>
      <c r="T1" s="50"/>
      <c r="U1" s="50"/>
      <c r="V1" s="192"/>
      <c r="W1" s="50"/>
      <c r="X1" s="50"/>
      <c r="Y1" s="50"/>
      <c r="Z1" s="50"/>
    </row>
    <row r="2" spans="1:26" ht="14.25" customHeight="1">
      <c r="A2" s="50"/>
      <c r="B2" s="357" t="s">
        <v>52</v>
      </c>
      <c r="C2" s="342"/>
      <c r="D2" s="342"/>
      <c r="E2" s="386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50"/>
      <c r="T2" s="50"/>
      <c r="U2" s="50"/>
      <c r="V2" s="192"/>
      <c r="W2" s="50"/>
      <c r="X2" s="50"/>
      <c r="Y2" s="50"/>
      <c r="Z2" s="50"/>
    </row>
    <row r="3" spans="1:26" ht="16.5" customHeight="1">
      <c r="A3" s="50"/>
      <c r="B3" s="357" t="s">
        <v>53</v>
      </c>
      <c r="C3" s="342"/>
      <c r="D3" s="342"/>
      <c r="E3" s="386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50"/>
      <c r="T3" s="50"/>
      <c r="U3" s="50"/>
      <c r="V3" s="192"/>
      <c r="W3" s="50"/>
      <c r="X3" s="50"/>
      <c r="Y3" s="50"/>
      <c r="Z3" s="50"/>
    </row>
    <row r="4" spans="1:26" ht="16.5" customHeight="1">
      <c r="A4" s="50"/>
      <c r="B4" s="193" t="s">
        <v>0</v>
      </c>
      <c r="C4" s="394" t="s">
        <v>1</v>
      </c>
      <c r="D4" s="395"/>
      <c r="E4" s="194" t="s">
        <v>54</v>
      </c>
      <c r="F4" s="195" t="s">
        <v>19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50"/>
      <c r="T4" s="50"/>
      <c r="U4" s="50"/>
      <c r="V4" s="192"/>
      <c r="W4" s="50"/>
      <c r="X4" s="50"/>
      <c r="Y4" s="50"/>
      <c r="Z4" s="50"/>
    </row>
    <row r="5" spans="1:26" ht="16.5" customHeight="1">
      <c r="A5" s="50"/>
      <c r="B5" s="196">
        <v>44326</v>
      </c>
      <c r="C5" s="396">
        <v>44570</v>
      </c>
      <c r="D5" s="397"/>
      <c r="E5" s="197">
        <v>44629</v>
      </c>
      <c r="F5" s="198">
        <v>44751</v>
      </c>
      <c r="G5" s="191"/>
      <c r="H5" s="50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50"/>
      <c r="T5" s="50"/>
      <c r="U5" s="50"/>
      <c r="V5" s="192"/>
      <c r="W5" s="50"/>
      <c r="X5" s="50"/>
      <c r="Y5" s="50"/>
      <c r="Z5" s="50"/>
    </row>
    <row r="6" spans="1:26" ht="16.5" customHeight="1">
      <c r="A6" s="50"/>
      <c r="B6" s="398" t="s">
        <v>21</v>
      </c>
      <c r="C6" s="399"/>
      <c r="D6" s="399"/>
      <c r="E6" s="400"/>
      <c r="F6" s="191"/>
      <c r="G6" s="191"/>
      <c r="H6" s="50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50"/>
      <c r="T6" s="50"/>
      <c r="U6" s="50"/>
      <c r="V6" s="192"/>
      <c r="W6" s="50"/>
      <c r="X6" s="50"/>
      <c r="Y6" s="50"/>
      <c r="Z6" s="50"/>
    </row>
    <row r="7" spans="1:26" ht="14">
      <c r="A7" s="50"/>
      <c r="B7" s="360" t="s">
        <v>43</v>
      </c>
      <c r="C7" s="199" t="s">
        <v>50</v>
      </c>
      <c r="D7" s="401"/>
      <c r="E7" s="334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50"/>
      <c r="T7" s="50"/>
      <c r="U7" s="50"/>
      <c r="V7" s="192"/>
      <c r="W7" s="50"/>
      <c r="X7" s="50"/>
      <c r="Y7" s="50"/>
      <c r="Z7" s="50"/>
    </row>
    <row r="8" spans="1:26" ht="14.25" customHeight="1">
      <c r="A8" s="50"/>
      <c r="B8" s="340"/>
      <c r="C8" s="200" t="s">
        <v>56</v>
      </c>
      <c r="D8" s="402"/>
      <c r="E8" s="337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50"/>
      <c r="T8" s="50"/>
      <c r="U8" s="50"/>
      <c r="V8" s="192"/>
      <c r="W8" s="50"/>
      <c r="X8" s="50"/>
      <c r="Y8" s="50"/>
      <c r="Z8" s="50"/>
    </row>
    <row r="9" spans="1:26" ht="14.25" customHeight="1">
      <c r="A9" s="50"/>
      <c r="B9" s="201" t="s">
        <v>5</v>
      </c>
      <c r="C9" s="202">
        <v>18000000</v>
      </c>
      <c r="D9" s="403"/>
      <c r="E9" s="343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50"/>
      <c r="T9" s="50"/>
      <c r="U9" s="50"/>
      <c r="V9" s="192"/>
      <c r="W9" s="50"/>
      <c r="X9" s="50"/>
      <c r="Y9" s="50"/>
      <c r="Z9" s="50"/>
    </row>
    <row r="10" spans="1:26" ht="14.25" customHeight="1">
      <c r="A10" s="50"/>
      <c r="B10" s="33" t="s">
        <v>6</v>
      </c>
      <c r="C10" s="361">
        <f>C9</f>
        <v>18000000</v>
      </c>
      <c r="D10" s="342"/>
      <c r="E10" s="386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50"/>
      <c r="T10" s="50"/>
      <c r="U10" s="50"/>
      <c r="V10" s="50"/>
      <c r="W10" s="50"/>
      <c r="X10" s="50"/>
      <c r="Y10" s="50"/>
      <c r="Z10" s="50"/>
    </row>
    <row r="11" spans="1:26" ht="13.5" customHeight="1">
      <c r="A11" s="50"/>
      <c r="B11" s="358" t="s">
        <v>44</v>
      </c>
      <c r="C11" s="342"/>
      <c r="D11" s="342"/>
      <c r="E11" s="386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50"/>
      <c r="T11" s="50"/>
      <c r="U11" s="50"/>
      <c r="V11" s="50"/>
      <c r="W11" s="50"/>
      <c r="X11" s="50"/>
      <c r="Y11" s="50"/>
      <c r="Z11" s="50"/>
    </row>
    <row r="12" spans="1:26" ht="28">
      <c r="A12" s="50"/>
      <c r="B12" s="404" t="s">
        <v>45</v>
      </c>
      <c r="C12" s="407">
        <v>9000000</v>
      </c>
      <c r="D12" s="203" t="s">
        <v>58</v>
      </c>
      <c r="E12" s="199" t="s">
        <v>59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50"/>
      <c r="T12" s="50"/>
      <c r="U12" s="50"/>
      <c r="V12" s="50"/>
      <c r="W12" s="50"/>
      <c r="X12" s="50"/>
      <c r="Y12" s="50"/>
      <c r="Z12" s="50"/>
    </row>
    <row r="13" spans="1:26" ht="13.5" customHeight="1">
      <c r="A13" s="50"/>
      <c r="B13" s="405"/>
      <c r="C13" s="408"/>
      <c r="D13" s="204">
        <v>2191</v>
      </c>
      <c r="E13" s="200">
        <v>2192</v>
      </c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50"/>
      <c r="T13" s="50"/>
      <c r="U13" s="50"/>
      <c r="V13" s="50"/>
      <c r="W13" s="50"/>
      <c r="X13" s="50"/>
      <c r="Y13" s="50"/>
      <c r="Z13" s="50"/>
    </row>
    <row r="14" spans="1:26" ht="14.25" customHeight="1">
      <c r="A14" s="50"/>
      <c r="B14" s="406"/>
      <c r="C14" s="408"/>
      <c r="D14" s="205">
        <v>6600000</v>
      </c>
      <c r="E14" s="206">
        <v>2400000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50"/>
      <c r="T14" s="50"/>
      <c r="U14" s="50"/>
      <c r="V14" s="50"/>
      <c r="W14" s="50"/>
      <c r="X14" s="50"/>
      <c r="Y14" s="50"/>
      <c r="Z14" s="50"/>
    </row>
    <row r="15" spans="1:26" ht="14.25" customHeight="1">
      <c r="A15" s="207" t="s">
        <v>60</v>
      </c>
      <c r="B15" s="208" t="s">
        <v>46</v>
      </c>
      <c r="C15" s="388">
        <f>C10+C14+D14+E14</f>
        <v>27000000</v>
      </c>
      <c r="D15" s="389"/>
      <c r="E15" s="390"/>
      <c r="F15" s="209" t="s">
        <v>47</v>
      </c>
      <c r="G15" s="210" t="s">
        <v>48</v>
      </c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50"/>
      <c r="T15" s="50"/>
      <c r="U15" s="50"/>
      <c r="V15" s="50"/>
      <c r="W15" s="50"/>
      <c r="X15" s="50"/>
      <c r="Y15" s="50"/>
      <c r="Z15" s="50"/>
    </row>
    <row r="16" spans="1:26" ht="28">
      <c r="A16" s="211">
        <v>20214600072294</v>
      </c>
      <c r="B16" s="212" t="s">
        <v>61</v>
      </c>
      <c r="C16" s="213">
        <v>772032</v>
      </c>
      <c r="D16" s="214">
        <v>0</v>
      </c>
      <c r="E16" s="214">
        <v>0</v>
      </c>
      <c r="F16" s="214">
        <f t="shared" ref="F16:F36" si="0">C16+D16+E16</f>
        <v>772032</v>
      </c>
      <c r="G16" s="215">
        <f>F16/C15</f>
        <v>2.8593777777777777E-2</v>
      </c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50"/>
      <c r="T16" s="50"/>
      <c r="U16" s="50"/>
      <c r="V16" s="50"/>
      <c r="W16" s="50"/>
      <c r="X16" s="50"/>
      <c r="Y16" s="50"/>
      <c r="Z16" s="50"/>
    </row>
    <row r="17" spans="1:26" ht="28">
      <c r="A17" s="216">
        <v>20214600113514</v>
      </c>
      <c r="B17" s="217" t="s">
        <v>62</v>
      </c>
      <c r="C17" s="218">
        <v>1580910</v>
      </c>
      <c r="D17" s="219">
        <v>0</v>
      </c>
      <c r="E17" s="219">
        <v>0</v>
      </c>
      <c r="F17" s="219">
        <f t="shared" si="0"/>
        <v>1580910</v>
      </c>
      <c r="G17" s="220">
        <f t="shared" ref="G17:G35" si="1">(F17/C$15)+G16</f>
        <v>8.7146000000000001E-2</v>
      </c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50"/>
      <c r="T17" s="50"/>
      <c r="U17" s="50"/>
      <c r="V17" s="50"/>
      <c r="W17" s="50"/>
      <c r="X17" s="50"/>
      <c r="Y17" s="50"/>
      <c r="Z17" s="50"/>
    </row>
    <row r="18" spans="1:26" ht="28">
      <c r="A18" s="216">
        <v>20214600116034</v>
      </c>
      <c r="B18" s="217" t="s">
        <v>63</v>
      </c>
      <c r="C18" s="218">
        <v>1703173</v>
      </c>
      <c r="D18" s="219">
        <v>0</v>
      </c>
      <c r="E18" s="219">
        <v>0</v>
      </c>
      <c r="F18" s="219">
        <f t="shared" si="0"/>
        <v>1703173</v>
      </c>
      <c r="G18" s="220">
        <f t="shared" si="1"/>
        <v>0.15022648148148149</v>
      </c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50"/>
      <c r="T18" s="50"/>
      <c r="U18" s="50"/>
      <c r="V18" s="50"/>
      <c r="W18" s="50"/>
      <c r="X18" s="50"/>
      <c r="Y18" s="50"/>
      <c r="Z18" s="50"/>
    </row>
    <row r="19" spans="1:26" ht="28">
      <c r="A19" s="216">
        <v>20214600134364</v>
      </c>
      <c r="B19" s="217" t="s">
        <v>64</v>
      </c>
      <c r="C19" s="218">
        <v>1479930</v>
      </c>
      <c r="D19" s="219">
        <v>0</v>
      </c>
      <c r="E19" s="219">
        <v>0</v>
      </c>
      <c r="F19" s="219">
        <f t="shared" si="0"/>
        <v>1479930</v>
      </c>
      <c r="G19" s="220">
        <f t="shared" si="1"/>
        <v>0.2050387037037037</v>
      </c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50"/>
      <c r="T19" s="50"/>
      <c r="U19" s="50"/>
      <c r="V19" s="50"/>
      <c r="W19" s="50"/>
      <c r="X19" s="50"/>
      <c r="Y19" s="50"/>
      <c r="Z19" s="50"/>
    </row>
    <row r="20" spans="1:26" ht="42">
      <c r="A20" s="216">
        <v>20214600159754</v>
      </c>
      <c r="B20" s="217" t="s">
        <v>65</v>
      </c>
      <c r="C20" s="218">
        <v>2678348</v>
      </c>
      <c r="D20" s="219">
        <v>0</v>
      </c>
      <c r="E20" s="219">
        <v>0</v>
      </c>
      <c r="F20" s="219">
        <f t="shared" si="0"/>
        <v>2678348</v>
      </c>
      <c r="G20" s="220">
        <f t="shared" si="1"/>
        <v>0.3042367777777778</v>
      </c>
      <c r="H20" s="22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50"/>
      <c r="T20" s="50"/>
      <c r="U20" s="50"/>
      <c r="V20" s="50"/>
      <c r="W20" s="50"/>
      <c r="X20" s="50"/>
      <c r="Y20" s="50"/>
      <c r="Z20" s="50"/>
    </row>
    <row r="21" spans="1:26" ht="15.75" customHeight="1">
      <c r="A21" s="216">
        <v>20214600170594</v>
      </c>
      <c r="B21" s="217" t="s">
        <v>66</v>
      </c>
      <c r="C21" s="218">
        <v>1416908</v>
      </c>
      <c r="D21" s="219">
        <v>0</v>
      </c>
      <c r="E21" s="219">
        <v>0</v>
      </c>
      <c r="F21" s="219">
        <f t="shared" si="0"/>
        <v>1416908</v>
      </c>
      <c r="G21" s="220">
        <f t="shared" si="1"/>
        <v>0.35671485185185187</v>
      </c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50"/>
      <c r="T21" s="50"/>
      <c r="U21" s="50"/>
      <c r="V21" s="50"/>
      <c r="W21" s="50"/>
      <c r="X21" s="50"/>
      <c r="Y21" s="50"/>
      <c r="Z21" s="50"/>
    </row>
    <row r="22" spans="1:26" ht="15.75" customHeight="1">
      <c r="A22" s="216">
        <v>20214600193194</v>
      </c>
      <c r="B22" s="217" t="s">
        <v>67</v>
      </c>
      <c r="C22" s="218">
        <v>1946116</v>
      </c>
      <c r="D22" s="219">
        <v>0</v>
      </c>
      <c r="E22" s="219">
        <v>0</v>
      </c>
      <c r="F22" s="219">
        <f t="shared" si="0"/>
        <v>1946116</v>
      </c>
      <c r="G22" s="220">
        <f t="shared" si="1"/>
        <v>0.42879322222222227</v>
      </c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50"/>
      <c r="T22" s="50"/>
      <c r="U22" s="50"/>
      <c r="V22" s="50"/>
      <c r="W22" s="50"/>
      <c r="X22" s="50"/>
      <c r="Y22" s="50"/>
      <c r="Z22" s="50"/>
    </row>
    <row r="23" spans="1:26" ht="15.75" customHeight="1">
      <c r="A23" s="216">
        <v>20224600011814</v>
      </c>
      <c r="B23" s="217" t="s">
        <v>68</v>
      </c>
      <c r="C23" s="218">
        <v>1590939</v>
      </c>
      <c r="D23" s="219">
        <v>0</v>
      </c>
      <c r="E23" s="219">
        <v>0</v>
      </c>
      <c r="F23" s="219">
        <f t="shared" si="0"/>
        <v>1590939</v>
      </c>
      <c r="G23" s="220">
        <f t="shared" si="1"/>
        <v>0.48771688888888892</v>
      </c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50"/>
      <c r="T23" s="50"/>
      <c r="U23" s="50"/>
      <c r="V23" s="50"/>
      <c r="W23" s="50"/>
      <c r="X23" s="50"/>
      <c r="Y23" s="50"/>
      <c r="Z23" s="50"/>
    </row>
    <row r="24" spans="1:26" ht="15.75" customHeight="1">
      <c r="A24" s="216">
        <v>20224600005224</v>
      </c>
      <c r="B24" s="217" t="s">
        <v>69</v>
      </c>
      <c r="C24" s="218">
        <v>844373</v>
      </c>
      <c r="D24" s="219">
        <v>0</v>
      </c>
      <c r="E24" s="219">
        <v>0</v>
      </c>
      <c r="F24" s="219">
        <f t="shared" si="0"/>
        <v>844373</v>
      </c>
      <c r="G24" s="220">
        <f t="shared" si="1"/>
        <v>0.51898996296296296</v>
      </c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50"/>
      <c r="T24" s="50"/>
      <c r="U24" s="50"/>
      <c r="V24" s="50"/>
      <c r="W24" s="50"/>
      <c r="X24" s="50"/>
      <c r="Y24" s="50"/>
      <c r="Z24" s="50"/>
    </row>
    <row r="25" spans="1:26" ht="15.75" customHeight="1">
      <c r="A25" s="216">
        <v>20224600033754</v>
      </c>
      <c r="B25" s="217" t="s">
        <v>70</v>
      </c>
      <c r="C25" s="218">
        <v>1410730</v>
      </c>
      <c r="D25" s="219">
        <v>0</v>
      </c>
      <c r="E25" s="219">
        <v>0</v>
      </c>
      <c r="F25" s="219">
        <f t="shared" si="0"/>
        <v>1410730</v>
      </c>
      <c r="G25" s="220">
        <f t="shared" si="1"/>
        <v>0.57123922222222223</v>
      </c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50"/>
      <c r="T25" s="50"/>
      <c r="U25" s="50"/>
      <c r="V25" s="50"/>
      <c r="W25" s="50"/>
      <c r="X25" s="50"/>
      <c r="Y25" s="50"/>
      <c r="Z25" s="50"/>
    </row>
    <row r="26" spans="1:26" ht="15.75" customHeight="1">
      <c r="A26" s="216">
        <v>20224600059884</v>
      </c>
      <c r="B26" s="217" t="s">
        <v>71</v>
      </c>
      <c r="C26" s="218">
        <v>1674160</v>
      </c>
      <c r="D26" s="219">
        <v>0</v>
      </c>
      <c r="E26" s="219">
        <v>0</v>
      </c>
      <c r="F26" s="219">
        <f t="shared" si="0"/>
        <v>1674160</v>
      </c>
      <c r="G26" s="220">
        <f t="shared" si="1"/>
        <v>0.63324514814814814</v>
      </c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50"/>
      <c r="T26" s="50"/>
      <c r="U26" s="50"/>
      <c r="V26" s="50"/>
      <c r="W26" s="50"/>
      <c r="X26" s="50"/>
      <c r="Y26" s="50"/>
      <c r="Z26" s="50"/>
    </row>
    <row r="27" spans="1:26" ht="14.25" customHeight="1">
      <c r="A27" s="222"/>
      <c r="B27" s="223"/>
      <c r="C27" s="219">
        <v>0</v>
      </c>
      <c r="D27" s="219">
        <v>0</v>
      </c>
      <c r="E27" s="219">
        <v>0</v>
      </c>
      <c r="F27" s="219">
        <f t="shared" si="0"/>
        <v>0</v>
      </c>
      <c r="G27" s="220">
        <f t="shared" si="1"/>
        <v>0.63324514814814814</v>
      </c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50"/>
      <c r="T27" s="50"/>
      <c r="U27" s="50"/>
      <c r="V27" s="50"/>
      <c r="W27" s="50"/>
      <c r="X27" s="50"/>
      <c r="Y27" s="50"/>
      <c r="Z27" s="50"/>
    </row>
    <row r="28" spans="1:26" ht="14.25" customHeight="1">
      <c r="A28" s="50"/>
      <c r="B28" s="223"/>
      <c r="C28" s="219">
        <v>0</v>
      </c>
      <c r="D28" s="219">
        <v>0</v>
      </c>
      <c r="E28" s="219">
        <v>0</v>
      </c>
      <c r="F28" s="219">
        <f t="shared" si="0"/>
        <v>0</v>
      </c>
      <c r="G28" s="220">
        <f t="shared" si="1"/>
        <v>0.63324514814814814</v>
      </c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50"/>
      <c r="T28" s="50"/>
      <c r="U28" s="50"/>
      <c r="V28" s="50"/>
      <c r="W28" s="50"/>
      <c r="X28" s="50"/>
      <c r="Y28" s="50"/>
      <c r="Z28" s="50"/>
    </row>
    <row r="29" spans="1:26" ht="14.25" customHeight="1">
      <c r="A29" s="50"/>
      <c r="B29" s="223"/>
      <c r="C29" s="219">
        <v>0</v>
      </c>
      <c r="D29" s="219">
        <v>0</v>
      </c>
      <c r="E29" s="219">
        <v>0</v>
      </c>
      <c r="F29" s="219">
        <f t="shared" si="0"/>
        <v>0</v>
      </c>
      <c r="G29" s="220">
        <f t="shared" si="1"/>
        <v>0.63324514814814814</v>
      </c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50"/>
      <c r="T29" s="50"/>
      <c r="U29" s="50"/>
      <c r="V29" s="50"/>
      <c r="W29" s="50"/>
      <c r="X29" s="50"/>
      <c r="Y29" s="50"/>
      <c r="Z29" s="50"/>
    </row>
    <row r="30" spans="1:26" ht="14.25" customHeight="1">
      <c r="A30" s="50"/>
      <c r="B30" s="223"/>
      <c r="C30" s="219">
        <v>0</v>
      </c>
      <c r="D30" s="219">
        <v>0</v>
      </c>
      <c r="E30" s="219">
        <v>0</v>
      </c>
      <c r="F30" s="219">
        <f t="shared" si="0"/>
        <v>0</v>
      </c>
      <c r="G30" s="220">
        <f t="shared" si="1"/>
        <v>0.63324514814814814</v>
      </c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50"/>
      <c r="T30" s="50"/>
      <c r="U30" s="50"/>
      <c r="V30" s="50"/>
      <c r="W30" s="50"/>
      <c r="X30" s="50"/>
      <c r="Y30" s="50"/>
      <c r="Z30" s="50"/>
    </row>
    <row r="31" spans="1:26" ht="14.25" customHeight="1">
      <c r="A31" s="50"/>
      <c r="B31" s="223"/>
      <c r="C31" s="219">
        <v>0</v>
      </c>
      <c r="D31" s="219">
        <v>0</v>
      </c>
      <c r="E31" s="219">
        <v>0</v>
      </c>
      <c r="F31" s="219">
        <f t="shared" si="0"/>
        <v>0</v>
      </c>
      <c r="G31" s="220">
        <f t="shared" si="1"/>
        <v>0.63324514814814814</v>
      </c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50"/>
      <c r="T31" s="50"/>
      <c r="U31" s="50"/>
      <c r="V31" s="50"/>
      <c r="W31" s="50"/>
      <c r="X31" s="50"/>
      <c r="Y31" s="50"/>
      <c r="Z31" s="50"/>
    </row>
    <row r="32" spans="1:26" ht="14.25" customHeight="1">
      <c r="A32" s="50"/>
      <c r="B32" s="223"/>
      <c r="C32" s="219">
        <v>0</v>
      </c>
      <c r="D32" s="219">
        <v>0</v>
      </c>
      <c r="E32" s="219">
        <v>0</v>
      </c>
      <c r="F32" s="219">
        <f t="shared" si="0"/>
        <v>0</v>
      </c>
      <c r="G32" s="220">
        <f t="shared" si="1"/>
        <v>0.63324514814814814</v>
      </c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50"/>
      <c r="T32" s="50"/>
      <c r="U32" s="50"/>
      <c r="V32" s="50"/>
      <c r="W32" s="50"/>
      <c r="X32" s="50"/>
      <c r="Y32" s="50"/>
      <c r="Z32" s="50"/>
    </row>
    <row r="33" spans="1:26" ht="14.25" customHeight="1">
      <c r="A33" s="50"/>
      <c r="B33" s="223"/>
      <c r="C33" s="219">
        <v>0</v>
      </c>
      <c r="D33" s="219">
        <v>0</v>
      </c>
      <c r="E33" s="219">
        <v>0</v>
      </c>
      <c r="F33" s="219">
        <f t="shared" si="0"/>
        <v>0</v>
      </c>
      <c r="G33" s="220">
        <f t="shared" si="1"/>
        <v>0.63324514814814814</v>
      </c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50"/>
      <c r="T33" s="50"/>
      <c r="U33" s="50"/>
      <c r="V33" s="50"/>
      <c r="W33" s="50"/>
      <c r="X33" s="50"/>
      <c r="Y33" s="50"/>
      <c r="Z33" s="50"/>
    </row>
    <row r="34" spans="1:26" ht="14.25" customHeight="1">
      <c r="A34" s="50"/>
      <c r="B34" s="223"/>
      <c r="C34" s="219">
        <v>0</v>
      </c>
      <c r="D34" s="219">
        <v>0</v>
      </c>
      <c r="E34" s="219">
        <v>0</v>
      </c>
      <c r="F34" s="219">
        <f t="shared" si="0"/>
        <v>0</v>
      </c>
      <c r="G34" s="220">
        <f t="shared" si="1"/>
        <v>0.63324514814814814</v>
      </c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50"/>
      <c r="T34" s="50"/>
      <c r="U34" s="50"/>
      <c r="V34" s="50"/>
      <c r="W34" s="50"/>
      <c r="X34" s="50"/>
      <c r="Y34" s="50"/>
      <c r="Z34" s="50"/>
    </row>
    <row r="35" spans="1:26" ht="14.25" customHeight="1">
      <c r="A35" s="50"/>
      <c r="B35" s="223"/>
      <c r="C35" s="219">
        <v>0</v>
      </c>
      <c r="D35" s="219">
        <v>0</v>
      </c>
      <c r="E35" s="219">
        <v>0</v>
      </c>
      <c r="F35" s="219">
        <f t="shared" si="0"/>
        <v>0</v>
      </c>
      <c r="G35" s="220">
        <f t="shared" si="1"/>
        <v>0.63324514814814814</v>
      </c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50"/>
      <c r="T35" s="50"/>
      <c r="U35" s="50"/>
      <c r="V35" s="50"/>
      <c r="W35" s="50"/>
      <c r="X35" s="50"/>
      <c r="Y35" s="50"/>
      <c r="Z35" s="50"/>
    </row>
    <row r="36" spans="1:26" ht="14.25" customHeight="1">
      <c r="A36" s="50"/>
      <c r="B36" s="224" t="s">
        <v>11</v>
      </c>
      <c r="C36" s="225">
        <f>SUM(C16:C27)</f>
        <v>17097619</v>
      </c>
      <c r="D36" s="226">
        <v>0</v>
      </c>
      <c r="E36" s="226">
        <v>0</v>
      </c>
      <c r="F36" s="227">
        <f t="shared" si="0"/>
        <v>17097619</v>
      </c>
      <c r="G36" s="228">
        <f>(F36/C$15)+G27</f>
        <v>1.2664902962962963</v>
      </c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50"/>
      <c r="T36" s="50"/>
      <c r="U36" s="50"/>
      <c r="V36" s="50"/>
      <c r="W36" s="50"/>
      <c r="X36" s="50"/>
      <c r="Y36" s="50"/>
      <c r="Z36" s="50"/>
    </row>
    <row r="37" spans="1:26" ht="14.25" customHeight="1">
      <c r="A37" s="50"/>
      <c r="B37" s="229" t="s">
        <v>12</v>
      </c>
      <c r="C37" s="230">
        <f>C9-C36</f>
        <v>902381</v>
      </c>
      <c r="D37" s="230">
        <f t="shared" ref="D37:E37" si="2">D14-D36</f>
        <v>6600000</v>
      </c>
      <c r="E37" s="230">
        <f t="shared" si="2"/>
        <v>2400000</v>
      </c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50"/>
      <c r="T37" s="50"/>
      <c r="U37" s="50"/>
      <c r="V37" s="50"/>
      <c r="W37" s="50"/>
      <c r="X37" s="50"/>
      <c r="Y37" s="50"/>
      <c r="Z37" s="50"/>
    </row>
    <row r="38" spans="1:26" ht="14.25" customHeight="1">
      <c r="A38" s="50"/>
      <c r="B38" s="231" t="s">
        <v>13</v>
      </c>
      <c r="C38" s="391">
        <f>+C37+D37+E37</f>
        <v>9902381</v>
      </c>
      <c r="D38" s="392"/>
      <c r="E38" s="393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50"/>
      <c r="T38" s="50"/>
      <c r="U38" s="50"/>
      <c r="V38" s="50"/>
      <c r="W38" s="50"/>
      <c r="X38" s="50"/>
      <c r="Y38" s="50"/>
      <c r="Z38" s="50"/>
    </row>
    <row r="39" spans="1:26" ht="14.25" customHeight="1">
      <c r="A39" s="50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50"/>
      <c r="T39" s="50"/>
      <c r="U39" s="50"/>
      <c r="V39" s="50"/>
      <c r="W39" s="50"/>
      <c r="X39" s="50"/>
      <c r="Y39" s="50"/>
      <c r="Z39" s="50"/>
    </row>
    <row r="40" spans="1:26" ht="14.25" customHeight="1">
      <c r="A40" s="50"/>
      <c r="B40" s="191"/>
      <c r="C40" s="50"/>
      <c r="D40" s="50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50"/>
      <c r="T40" s="50"/>
      <c r="U40" s="50"/>
      <c r="V40" s="50"/>
      <c r="W40" s="50"/>
      <c r="X40" s="50"/>
      <c r="Y40" s="50"/>
      <c r="Z40" s="50"/>
    </row>
    <row r="41" spans="1:26" ht="14.25" customHeight="1">
      <c r="A41" s="50"/>
      <c r="B41" s="191"/>
      <c r="C41" s="50"/>
      <c r="D41" s="50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50"/>
      <c r="T41" s="50"/>
      <c r="U41" s="50"/>
      <c r="V41" s="50"/>
      <c r="W41" s="50"/>
      <c r="X41" s="50"/>
      <c r="Y41" s="50"/>
      <c r="Z41" s="50"/>
    </row>
    <row r="42" spans="1:26" ht="14.25" customHeight="1">
      <c r="A42" s="50"/>
      <c r="B42" s="191"/>
      <c r="C42" s="50"/>
      <c r="D42" s="50"/>
      <c r="E42" s="50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50"/>
      <c r="T42" s="50"/>
      <c r="U42" s="50"/>
      <c r="V42" s="50"/>
      <c r="W42" s="50"/>
      <c r="X42" s="50"/>
      <c r="Y42" s="50"/>
      <c r="Z42" s="50"/>
    </row>
    <row r="43" spans="1:26" ht="14.25" customHeight="1">
      <c r="A43" s="50"/>
      <c r="B43" s="191"/>
      <c r="C43" s="191"/>
      <c r="D43" s="191"/>
      <c r="E43" s="50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50"/>
      <c r="T43" s="50"/>
      <c r="U43" s="50"/>
      <c r="V43" s="50"/>
      <c r="W43" s="50"/>
      <c r="X43" s="50"/>
      <c r="Y43" s="50"/>
      <c r="Z43" s="50"/>
    </row>
    <row r="44" spans="1:26" ht="14.25" customHeight="1">
      <c r="A44" s="50"/>
      <c r="B44" s="191"/>
      <c r="C44" s="191"/>
      <c r="D44" s="191"/>
      <c r="E44" s="50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50"/>
      <c r="T44" s="50"/>
      <c r="U44" s="50"/>
      <c r="V44" s="50"/>
      <c r="W44" s="50"/>
      <c r="X44" s="50"/>
      <c r="Y44" s="50"/>
      <c r="Z44" s="50"/>
    </row>
    <row r="45" spans="1:26" ht="14.25" customHeight="1">
      <c r="A45" s="50"/>
      <c r="B45" s="191"/>
      <c r="C45" s="191"/>
      <c r="D45" s="191"/>
      <c r="E45" s="50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50"/>
      <c r="T45" s="50"/>
      <c r="U45" s="50"/>
      <c r="V45" s="50"/>
      <c r="W45" s="50"/>
      <c r="X45" s="50"/>
      <c r="Y45" s="50"/>
      <c r="Z45" s="50"/>
    </row>
    <row r="46" spans="1:26" ht="14.25" customHeight="1">
      <c r="A46" s="50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50"/>
      <c r="T46" s="50"/>
      <c r="U46" s="50"/>
      <c r="V46" s="50"/>
      <c r="W46" s="50"/>
      <c r="X46" s="50"/>
      <c r="Y46" s="50"/>
      <c r="Z46" s="50"/>
    </row>
    <row r="47" spans="1:26" ht="14.25" customHeight="1">
      <c r="A47" s="50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50"/>
      <c r="T47" s="50"/>
      <c r="U47" s="50"/>
      <c r="V47" s="50"/>
      <c r="W47" s="50"/>
      <c r="X47" s="50"/>
      <c r="Y47" s="50"/>
      <c r="Z47" s="50"/>
    </row>
    <row r="48" spans="1:26" ht="14.25" customHeight="1">
      <c r="A48" s="50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50"/>
      <c r="T48" s="50"/>
      <c r="U48" s="50"/>
      <c r="V48" s="50"/>
      <c r="W48" s="50"/>
      <c r="X48" s="50"/>
      <c r="Y48" s="50"/>
      <c r="Z48" s="50"/>
    </row>
    <row r="49" spans="1:26" ht="14.25" customHeight="1">
      <c r="A49" s="50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50"/>
      <c r="T49" s="50"/>
      <c r="U49" s="50"/>
      <c r="V49" s="50"/>
      <c r="W49" s="50"/>
      <c r="X49" s="50"/>
      <c r="Y49" s="50"/>
      <c r="Z49" s="50"/>
    </row>
    <row r="50" spans="1:26" ht="14.25" customHeight="1">
      <c r="A50" s="50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50"/>
      <c r="T50" s="50"/>
      <c r="U50" s="50"/>
      <c r="V50" s="50"/>
      <c r="W50" s="50"/>
      <c r="X50" s="50"/>
      <c r="Y50" s="50"/>
      <c r="Z50" s="50"/>
    </row>
    <row r="51" spans="1:26" ht="14.25" customHeight="1">
      <c r="A51" s="50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50"/>
      <c r="T51" s="50"/>
      <c r="U51" s="50"/>
      <c r="V51" s="50"/>
      <c r="W51" s="50"/>
      <c r="X51" s="50"/>
      <c r="Y51" s="50"/>
      <c r="Z51" s="50"/>
    </row>
    <row r="52" spans="1:26" ht="14.25" customHeight="1">
      <c r="A52" s="50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50"/>
      <c r="T52" s="50"/>
      <c r="U52" s="50"/>
      <c r="V52" s="50"/>
      <c r="W52" s="50"/>
      <c r="X52" s="50"/>
      <c r="Y52" s="50"/>
      <c r="Z52" s="50"/>
    </row>
    <row r="53" spans="1:26" ht="14.25" customHeight="1">
      <c r="A53" s="50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50"/>
      <c r="T53" s="50"/>
      <c r="U53" s="50"/>
      <c r="V53" s="50"/>
      <c r="W53" s="50"/>
      <c r="X53" s="50"/>
      <c r="Y53" s="50"/>
      <c r="Z53" s="50"/>
    </row>
    <row r="54" spans="1:26" ht="14.25" customHeight="1">
      <c r="A54" s="50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50"/>
      <c r="T54" s="50"/>
      <c r="U54" s="50"/>
      <c r="V54" s="50"/>
      <c r="W54" s="50"/>
      <c r="X54" s="50"/>
      <c r="Y54" s="50"/>
      <c r="Z54" s="50"/>
    </row>
    <row r="55" spans="1:26" ht="14.25" customHeight="1">
      <c r="A55" s="5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50"/>
      <c r="T55" s="50"/>
      <c r="U55" s="50"/>
      <c r="V55" s="50"/>
      <c r="W55" s="50"/>
      <c r="X55" s="50"/>
      <c r="Y55" s="50"/>
      <c r="Z55" s="50"/>
    </row>
    <row r="56" spans="1:26" ht="14.25" customHeight="1">
      <c r="A56" s="5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50"/>
      <c r="T56" s="50"/>
      <c r="U56" s="50"/>
      <c r="V56" s="50"/>
      <c r="W56" s="50"/>
      <c r="X56" s="50"/>
      <c r="Y56" s="50"/>
      <c r="Z56" s="50"/>
    </row>
    <row r="57" spans="1:26" ht="14.25" customHeight="1">
      <c r="A57" s="50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50"/>
      <c r="T57" s="50"/>
      <c r="U57" s="50"/>
      <c r="V57" s="50"/>
      <c r="W57" s="50"/>
      <c r="X57" s="50"/>
      <c r="Y57" s="50"/>
      <c r="Z57" s="50"/>
    </row>
    <row r="58" spans="1:26" ht="14.25" customHeight="1">
      <c r="A58" s="50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50"/>
      <c r="T58" s="50"/>
      <c r="U58" s="50"/>
      <c r="V58" s="50"/>
      <c r="W58" s="50"/>
      <c r="X58" s="50"/>
      <c r="Y58" s="50"/>
      <c r="Z58" s="50"/>
    </row>
    <row r="59" spans="1:26" ht="14.25" customHeight="1">
      <c r="A59" s="50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50"/>
      <c r="T59" s="50"/>
      <c r="U59" s="50"/>
      <c r="V59" s="50"/>
      <c r="W59" s="50"/>
      <c r="X59" s="50"/>
      <c r="Y59" s="50"/>
      <c r="Z59" s="50"/>
    </row>
    <row r="60" spans="1:26" ht="14.25" customHeight="1">
      <c r="A60" s="50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50"/>
      <c r="T60" s="50"/>
      <c r="U60" s="50"/>
      <c r="V60" s="50"/>
      <c r="W60" s="50"/>
      <c r="X60" s="50"/>
      <c r="Y60" s="50"/>
      <c r="Z60" s="50"/>
    </row>
    <row r="61" spans="1:26" ht="14.25" customHeight="1">
      <c r="A61" s="50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50"/>
      <c r="T61" s="50"/>
      <c r="U61" s="50"/>
      <c r="V61" s="50"/>
      <c r="W61" s="50"/>
      <c r="X61" s="50"/>
      <c r="Y61" s="50"/>
      <c r="Z61" s="50"/>
    </row>
    <row r="62" spans="1:26" ht="14.25" customHeight="1">
      <c r="A62" s="5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50"/>
      <c r="T62" s="50"/>
      <c r="U62" s="50"/>
      <c r="V62" s="50"/>
      <c r="W62" s="50"/>
      <c r="X62" s="50"/>
      <c r="Y62" s="50"/>
      <c r="Z62" s="50"/>
    </row>
    <row r="63" spans="1:26" ht="14.25" customHeight="1">
      <c r="A63" s="50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50"/>
      <c r="T63" s="50"/>
      <c r="U63" s="50"/>
      <c r="V63" s="50"/>
      <c r="W63" s="50"/>
      <c r="X63" s="50"/>
      <c r="Y63" s="50"/>
      <c r="Z63" s="50"/>
    </row>
    <row r="64" spans="1:26" ht="14.25" customHeight="1">
      <c r="A64" s="50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50"/>
      <c r="T64" s="50"/>
      <c r="U64" s="50"/>
      <c r="V64" s="50"/>
      <c r="W64" s="50"/>
      <c r="X64" s="50"/>
      <c r="Y64" s="50"/>
      <c r="Z64" s="50"/>
    </row>
    <row r="65" spans="1:26" ht="14.25" customHeight="1">
      <c r="A65" s="5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50"/>
      <c r="T65" s="50"/>
      <c r="U65" s="50"/>
      <c r="V65" s="50"/>
      <c r="W65" s="50"/>
      <c r="X65" s="50"/>
      <c r="Y65" s="50"/>
      <c r="Z65" s="50"/>
    </row>
    <row r="66" spans="1:26" ht="14.25" customHeight="1">
      <c r="A66" s="50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50"/>
      <c r="T66" s="50"/>
      <c r="U66" s="50"/>
      <c r="V66" s="50"/>
      <c r="W66" s="50"/>
      <c r="X66" s="50"/>
      <c r="Y66" s="50"/>
      <c r="Z66" s="50"/>
    </row>
    <row r="67" spans="1:26" ht="14.25" customHeight="1">
      <c r="A67" s="50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50"/>
      <c r="T67" s="50"/>
      <c r="U67" s="50"/>
      <c r="V67" s="50"/>
      <c r="W67" s="50"/>
      <c r="X67" s="50"/>
      <c r="Y67" s="50"/>
      <c r="Z67" s="50"/>
    </row>
    <row r="68" spans="1:26" ht="14.25" customHeight="1">
      <c r="A68" s="50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50"/>
      <c r="T68" s="50"/>
      <c r="U68" s="50"/>
      <c r="V68" s="50"/>
      <c r="W68" s="50"/>
      <c r="X68" s="50"/>
      <c r="Y68" s="50"/>
      <c r="Z68" s="50"/>
    </row>
    <row r="69" spans="1:26" ht="14.25" customHeight="1">
      <c r="A69" s="50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50"/>
      <c r="T69" s="50"/>
      <c r="U69" s="50"/>
      <c r="V69" s="50"/>
      <c r="W69" s="50"/>
      <c r="X69" s="50"/>
      <c r="Y69" s="50"/>
      <c r="Z69" s="50"/>
    </row>
    <row r="70" spans="1:26" ht="14.25" customHeight="1">
      <c r="A70" s="50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50"/>
      <c r="T70" s="50"/>
      <c r="U70" s="50"/>
      <c r="V70" s="50"/>
      <c r="W70" s="50"/>
      <c r="X70" s="50"/>
      <c r="Y70" s="50"/>
      <c r="Z70" s="50"/>
    </row>
    <row r="71" spans="1:26" ht="14.25" customHeight="1">
      <c r="A71" s="50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50"/>
      <c r="T71" s="50"/>
      <c r="U71" s="50"/>
      <c r="V71" s="50"/>
      <c r="W71" s="50"/>
      <c r="X71" s="50"/>
      <c r="Y71" s="50"/>
      <c r="Z71" s="50"/>
    </row>
    <row r="72" spans="1:26" ht="14.25" customHeight="1">
      <c r="A72" s="50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50"/>
      <c r="T72" s="50"/>
      <c r="U72" s="50"/>
      <c r="V72" s="50"/>
      <c r="W72" s="50"/>
      <c r="X72" s="50"/>
      <c r="Y72" s="50"/>
      <c r="Z72" s="50"/>
    </row>
    <row r="73" spans="1:26" ht="14.25" customHeight="1">
      <c r="A73" s="50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50"/>
      <c r="T73" s="50"/>
      <c r="U73" s="50"/>
      <c r="V73" s="50"/>
      <c r="W73" s="50"/>
      <c r="X73" s="50"/>
      <c r="Y73" s="50"/>
      <c r="Z73" s="50"/>
    </row>
    <row r="74" spans="1:26" ht="14.25" customHeight="1">
      <c r="A74" s="50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50"/>
      <c r="T74" s="50"/>
      <c r="U74" s="50"/>
      <c r="V74" s="50"/>
      <c r="W74" s="50"/>
      <c r="X74" s="50"/>
      <c r="Y74" s="50"/>
      <c r="Z74" s="50"/>
    </row>
    <row r="75" spans="1:26" ht="14.25" customHeight="1">
      <c r="A75" s="50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50"/>
      <c r="T75" s="50"/>
      <c r="U75" s="50"/>
      <c r="V75" s="50"/>
      <c r="W75" s="50"/>
      <c r="X75" s="50"/>
      <c r="Y75" s="50"/>
      <c r="Z75" s="50"/>
    </row>
    <row r="76" spans="1:26" ht="14.25" customHeight="1">
      <c r="A76" s="50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50"/>
      <c r="T76" s="50"/>
      <c r="U76" s="50"/>
      <c r="V76" s="50"/>
      <c r="W76" s="50"/>
      <c r="X76" s="50"/>
      <c r="Y76" s="50"/>
      <c r="Z76" s="50"/>
    </row>
    <row r="77" spans="1:26" ht="14.25" customHeight="1">
      <c r="A77" s="50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50"/>
      <c r="T77" s="50"/>
      <c r="U77" s="50"/>
      <c r="V77" s="50"/>
      <c r="W77" s="50"/>
      <c r="X77" s="50"/>
      <c r="Y77" s="50"/>
      <c r="Z77" s="50"/>
    </row>
    <row r="78" spans="1:26" ht="14.25" customHeight="1">
      <c r="A78" s="50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50"/>
      <c r="T78" s="50"/>
      <c r="U78" s="50"/>
      <c r="V78" s="50"/>
      <c r="W78" s="50"/>
      <c r="X78" s="50"/>
      <c r="Y78" s="50"/>
      <c r="Z78" s="50"/>
    </row>
    <row r="79" spans="1:26" ht="14.25" customHeight="1">
      <c r="A79" s="50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50"/>
      <c r="T79" s="50"/>
      <c r="U79" s="50"/>
      <c r="V79" s="50"/>
      <c r="W79" s="50"/>
      <c r="X79" s="50"/>
      <c r="Y79" s="50"/>
      <c r="Z79" s="50"/>
    </row>
    <row r="80" spans="1:26" ht="14.25" customHeight="1">
      <c r="A80" s="50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50"/>
      <c r="T80" s="50"/>
      <c r="U80" s="50"/>
      <c r="V80" s="50"/>
      <c r="W80" s="50"/>
      <c r="X80" s="50"/>
      <c r="Y80" s="50"/>
      <c r="Z80" s="50"/>
    </row>
    <row r="81" spans="1:26" ht="14.25" customHeight="1">
      <c r="A81" s="50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50"/>
      <c r="T81" s="50"/>
      <c r="U81" s="50"/>
      <c r="V81" s="50"/>
      <c r="W81" s="50"/>
      <c r="X81" s="50"/>
      <c r="Y81" s="50"/>
      <c r="Z81" s="50"/>
    </row>
    <row r="82" spans="1:26" ht="14.25" customHeight="1">
      <c r="A82" s="50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50"/>
      <c r="T82" s="50"/>
      <c r="U82" s="50"/>
      <c r="V82" s="50"/>
      <c r="W82" s="50"/>
      <c r="X82" s="50"/>
      <c r="Y82" s="50"/>
      <c r="Z82" s="50"/>
    </row>
    <row r="83" spans="1:26" ht="14.25" customHeight="1">
      <c r="A83" s="50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50"/>
      <c r="T83" s="50"/>
      <c r="U83" s="50"/>
      <c r="V83" s="50"/>
      <c r="W83" s="50"/>
      <c r="X83" s="50"/>
      <c r="Y83" s="50"/>
      <c r="Z83" s="50"/>
    </row>
    <row r="84" spans="1:26" ht="14.25" customHeight="1">
      <c r="A84" s="50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50"/>
      <c r="T84" s="50"/>
      <c r="U84" s="50"/>
      <c r="V84" s="50"/>
      <c r="W84" s="50"/>
      <c r="X84" s="50"/>
      <c r="Y84" s="50"/>
      <c r="Z84" s="50"/>
    </row>
    <row r="85" spans="1:26" ht="14.25" customHeight="1">
      <c r="A85" s="50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50"/>
      <c r="T85" s="50"/>
      <c r="U85" s="50"/>
      <c r="V85" s="50"/>
      <c r="W85" s="50"/>
      <c r="X85" s="50"/>
      <c r="Y85" s="50"/>
      <c r="Z85" s="50"/>
    </row>
    <row r="86" spans="1:26" ht="14.25" customHeight="1">
      <c r="A86" s="50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50"/>
      <c r="T86" s="50"/>
      <c r="U86" s="50"/>
      <c r="V86" s="50"/>
      <c r="W86" s="50"/>
      <c r="X86" s="50"/>
      <c r="Y86" s="50"/>
      <c r="Z86" s="50"/>
    </row>
    <row r="87" spans="1:26" ht="14.25" customHeight="1">
      <c r="A87" s="5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50"/>
      <c r="T87" s="50"/>
      <c r="U87" s="50"/>
      <c r="V87" s="50"/>
      <c r="W87" s="50"/>
      <c r="X87" s="50"/>
      <c r="Y87" s="50"/>
      <c r="Z87" s="50"/>
    </row>
    <row r="88" spans="1:26" ht="14.25" customHeight="1">
      <c r="A88" s="50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50"/>
      <c r="T88" s="50"/>
      <c r="U88" s="50"/>
      <c r="V88" s="50"/>
      <c r="W88" s="50"/>
      <c r="X88" s="50"/>
      <c r="Y88" s="50"/>
      <c r="Z88" s="50"/>
    </row>
    <row r="89" spans="1:26" ht="14.25" customHeight="1">
      <c r="A89" s="50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50"/>
      <c r="T89" s="50"/>
      <c r="U89" s="50"/>
      <c r="V89" s="50"/>
      <c r="W89" s="50"/>
      <c r="X89" s="50"/>
      <c r="Y89" s="50"/>
      <c r="Z89" s="50"/>
    </row>
    <row r="90" spans="1:26" ht="14.25" customHeight="1">
      <c r="A90" s="50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50"/>
      <c r="T90" s="50"/>
      <c r="U90" s="50"/>
      <c r="V90" s="50"/>
      <c r="W90" s="50"/>
      <c r="X90" s="50"/>
      <c r="Y90" s="50"/>
      <c r="Z90" s="50"/>
    </row>
    <row r="91" spans="1:26" ht="14.25" customHeight="1">
      <c r="A91" s="50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50"/>
      <c r="T91" s="50"/>
      <c r="U91" s="50"/>
      <c r="V91" s="50"/>
      <c r="W91" s="50"/>
      <c r="X91" s="50"/>
      <c r="Y91" s="50"/>
      <c r="Z91" s="50"/>
    </row>
    <row r="92" spans="1:26" ht="14.25" customHeight="1">
      <c r="A92" s="50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50"/>
      <c r="T92" s="50"/>
      <c r="U92" s="50"/>
      <c r="V92" s="50"/>
      <c r="W92" s="50"/>
      <c r="X92" s="50"/>
      <c r="Y92" s="50"/>
      <c r="Z92" s="50"/>
    </row>
    <row r="93" spans="1:26" ht="14.25" customHeight="1">
      <c r="A93" s="50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50"/>
      <c r="T93" s="50"/>
      <c r="U93" s="50"/>
      <c r="V93" s="50"/>
      <c r="W93" s="50"/>
      <c r="X93" s="50"/>
      <c r="Y93" s="50"/>
      <c r="Z93" s="50"/>
    </row>
    <row r="94" spans="1:26" ht="14.25" customHeight="1">
      <c r="A94" s="50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50"/>
      <c r="T94" s="50"/>
      <c r="U94" s="50"/>
      <c r="V94" s="50"/>
      <c r="W94" s="50"/>
      <c r="X94" s="50"/>
      <c r="Y94" s="50"/>
      <c r="Z94" s="50"/>
    </row>
    <row r="95" spans="1:26" ht="14.25" customHeight="1">
      <c r="A95" s="50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50"/>
      <c r="T95" s="50"/>
      <c r="U95" s="50"/>
      <c r="V95" s="50"/>
      <c r="W95" s="50"/>
      <c r="X95" s="50"/>
      <c r="Y95" s="50"/>
      <c r="Z95" s="50"/>
    </row>
    <row r="96" spans="1:26" ht="14.25" customHeight="1">
      <c r="A96" s="50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50"/>
      <c r="T96" s="50"/>
      <c r="U96" s="50"/>
      <c r="V96" s="50"/>
      <c r="W96" s="50"/>
      <c r="X96" s="50"/>
      <c r="Y96" s="50"/>
      <c r="Z96" s="50"/>
    </row>
    <row r="97" spans="1:26" ht="14.25" customHeight="1">
      <c r="A97" s="50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50"/>
      <c r="T97" s="50"/>
      <c r="U97" s="50"/>
      <c r="V97" s="50"/>
      <c r="W97" s="50"/>
      <c r="X97" s="50"/>
      <c r="Y97" s="50"/>
      <c r="Z97" s="50"/>
    </row>
    <row r="98" spans="1:26" ht="14.25" customHeight="1">
      <c r="A98" s="50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50"/>
      <c r="T98" s="50"/>
      <c r="U98" s="50"/>
      <c r="V98" s="50"/>
      <c r="W98" s="50"/>
      <c r="X98" s="50"/>
      <c r="Y98" s="50"/>
      <c r="Z98" s="50"/>
    </row>
    <row r="99" spans="1:26" ht="14.25" customHeight="1">
      <c r="A99" s="50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50"/>
      <c r="T99" s="50"/>
      <c r="U99" s="50"/>
      <c r="V99" s="50"/>
      <c r="W99" s="50"/>
      <c r="X99" s="50"/>
      <c r="Y99" s="50"/>
      <c r="Z99" s="50"/>
    </row>
    <row r="100" spans="1:26" ht="14.25" customHeight="1">
      <c r="A100" s="50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50"/>
      <c r="T100" s="50"/>
      <c r="U100" s="50"/>
      <c r="V100" s="50"/>
      <c r="W100" s="50"/>
      <c r="X100" s="50"/>
      <c r="Y100" s="50"/>
      <c r="Z100" s="50"/>
    </row>
    <row r="101" spans="1:26" ht="14.25" customHeight="1">
      <c r="A101" s="50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50"/>
      <c r="T101" s="50"/>
      <c r="U101" s="50"/>
      <c r="V101" s="50"/>
      <c r="W101" s="50"/>
      <c r="X101" s="50"/>
      <c r="Y101" s="50"/>
      <c r="Z101" s="50"/>
    </row>
    <row r="102" spans="1:26" ht="14.25" customHeight="1">
      <c r="A102" s="50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50"/>
      <c r="T102" s="50"/>
      <c r="U102" s="50"/>
      <c r="V102" s="50"/>
      <c r="W102" s="50"/>
      <c r="X102" s="50"/>
      <c r="Y102" s="50"/>
      <c r="Z102" s="50"/>
    </row>
    <row r="103" spans="1:26" ht="14.25" customHeight="1">
      <c r="A103" s="50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50"/>
      <c r="T103" s="50"/>
      <c r="U103" s="50"/>
      <c r="V103" s="50"/>
      <c r="W103" s="50"/>
      <c r="X103" s="50"/>
      <c r="Y103" s="50"/>
      <c r="Z103" s="50"/>
    </row>
    <row r="104" spans="1:26" ht="14.25" customHeight="1">
      <c r="A104" s="50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50"/>
      <c r="T104" s="50"/>
      <c r="U104" s="50"/>
      <c r="V104" s="50"/>
      <c r="W104" s="50"/>
      <c r="X104" s="50"/>
      <c r="Y104" s="50"/>
      <c r="Z104" s="50"/>
    </row>
    <row r="105" spans="1:26" ht="14.25" customHeight="1">
      <c r="A105" s="50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50"/>
      <c r="T105" s="50"/>
      <c r="U105" s="50"/>
      <c r="V105" s="50"/>
      <c r="W105" s="50"/>
      <c r="X105" s="50"/>
      <c r="Y105" s="50"/>
      <c r="Z105" s="50"/>
    </row>
    <row r="106" spans="1:26" ht="14.25" customHeight="1">
      <c r="A106" s="50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50"/>
      <c r="T106" s="50"/>
      <c r="U106" s="50"/>
      <c r="V106" s="50"/>
      <c r="W106" s="50"/>
      <c r="X106" s="50"/>
      <c r="Y106" s="50"/>
      <c r="Z106" s="50"/>
    </row>
    <row r="107" spans="1:26" ht="14.25" customHeight="1">
      <c r="A107" s="50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50"/>
      <c r="T107" s="50"/>
      <c r="U107" s="50"/>
      <c r="V107" s="50"/>
      <c r="W107" s="50"/>
      <c r="X107" s="50"/>
      <c r="Y107" s="50"/>
      <c r="Z107" s="50"/>
    </row>
    <row r="108" spans="1:26" ht="14.25" customHeight="1">
      <c r="A108" s="50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50"/>
      <c r="T108" s="50"/>
      <c r="U108" s="50"/>
      <c r="V108" s="50"/>
      <c r="W108" s="50"/>
      <c r="X108" s="50"/>
      <c r="Y108" s="50"/>
      <c r="Z108" s="50"/>
    </row>
    <row r="109" spans="1:26" ht="14.25" customHeight="1">
      <c r="A109" s="50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50"/>
      <c r="T109" s="50"/>
      <c r="U109" s="50"/>
      <c r="V109" s="50"/>
      <c r="W109" s="50"/>
      <c r="X109" s="50"/>
      <c r="Y109" s="50"/>
      <c r="Z109" s="50"/>
    </row>
    <row r="110" spans="1:26" ht="14.25" customHeight="1">
      <c r="A110" s="50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50"/>
      <c r="T110" s="50"/>
      <c r="U110" s="50"/>
      <c r="V110" s="50"/>
      <c r="W110" s="50"/>
      <c r="X110" s="50"/>
      <c r="Y110" s="50"/>
      <c r="Z110" s="50"/>
    </row>
    <row r="111" spans="1:26" ht="14.25" customHeight="1">
      <c r="A111" s="50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50"/>
      <c r="T111" s="50"/>
      <c r="U111" s="50"/>
      <c r="V111" s="50"/>
      <c r="W111" s="50"/>
      <c r="X111" s="50"/>
      <c r="Y111" s="50"/>
      <c r="Z111" s="50"/>
    </row>
    <row r="112" spans="1:26" ht="14.25" customHeight="1">
      <c r="A112" s="50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50"/>
      <c r="T112" s="50"/>
      <c r="U112" s="50"/>
      <c r="V112" s="50"/>
      <c r="W112" s="50"/>
      <c r="X112" s="50"/>
      <c r="Y112" s="50"/>
      <c r="Z112" s="50"/>
    </row>
    <row r="113" spans="1:26" ht="14.25" customHeight="1">
      <c r="A113" s="50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50"/>
      <c r="T113" s="50"/>
      <c r="U113" s="50"/>
      <c r="V113" s="50"/>
      <c r="W113" s="50"/>
      <c r="X113" s="50"/>
      <c r="Y113" s="50"/>
      <c r="Z113" s="50"/>
    </row>
    <row r="114" spans="1:26" ht="14.25" customHeight="1">
      <c r="A114" s="50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50"/>
      <c r="T114" s="50"/>
      <c r="U114" s="50"/>
      <c r="V114" s="50"/>
      <c r="W114" s="50"/>
      <c r="X114" s="50"/>
      <c r="Y114" s="50"/>
      <c r="Z114" s="50"/>
    </row>
    <row r="115" spans="1:26" ht="14.25" customHeight="1">
      <c r="A115" s="50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50"/>
      <c r="T115" s="50"/>
      <c r="U115" s="50"/>
      <c r="V115" s="50"/>
      <c r="W115" s="50"/>
      <c r="X115" s="50"/>
      <c r="Y115" s="50"/>
      <c r="Z115" s="50"/>
    </row>
    <row r="116" spans="1:26" ht="14.25" customHeight="1">
      <c r="A116" s="50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50"/>
      <c r="T116" s="50"/>
      <c r="U116" s="50"/>
      <c r="V116" s="50"/>
      <c r="W116" s="50"/>
      <c r="X116" s="50"/>
      <c r="Y116" s="50"/>
      <c r="Z116" s="50"/>
    </row>
    <row r="117" spans="1:26" ht="14.25" customHeight="1">
      <c r="A117" s="50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50"/>
      <c r="T117" s="50"/>
      <c r="U117" s="50"/>
      <c r="V117" s="50"/>
      <c r="W117" s="50"/>
      <c r="X117" s="50"/>
      <c r="Y117" s="50"/>
      <c r="Z117" s="50"/>
    </row>
    <row r="118" spans="1:26" ht="14.25" customHeight="1">
      <c r="A118" s="50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50"/>
      <c r="T118" s="50"/>
      <c r="U118" s="50"/>
      <c r="V118" s="50"/>
      <c r="W118" s="50"/>
      <c r="X118" s="50"/>
      <c r="Y118" s="50"/>
      <c r="Z118" s="50"/>
    </row>
    <row r="119" spans="1:26" ht="14.25" customHeight="1">
      <c r="A119" s="50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50"/>
      <c r="T119" s="50"/>
      <c r="U119" s="50"/>
      <c r="V119" s="50"/>
      <c r="W119" s="50"/>
      <c r="X119" s="50"/>
      <c r="Y119" s="50"/>
      <c r="Z119" s="50"/>
    </row>
    <row r="120" spans="1:26" ht="14.25" customHeight="1">
      <c r="A120" s="50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50"/>
      <c r="T120" s="50"/>
      <c r="U120" s="50"/>
      <c r="V120" s="50"/>
      <c r="W120" s="50"/>
      <c r="X120" s="50"/>
      <c r="Y120" s="50"/>
      <c r="Z120" s="50"/>
    </row>
    <row r="121" spans="1:26" ht="14.25" customHeight="1">
      <c r="A121" s="5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50"/>
      <c r="T121" s="50"/>
      <c r="U121" s="50"/>
      <c r="V121" s="50"/>
      <c r="W121" s="50"/>
      <c r="X121" s="50"/>
      <c r="Y121" s="50"/>
      <c r="Z121" s="50"/>
    </row>
    <row r="122" spans="1:26" ht="14.25" customHeight="1">
      <c r="A122" s="50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50"/>
      <c r="T122" s="50"/>
      <c r="U122" s="50"/>
      <c r="V122" s="50"/>
      <c r="W122" s="50"/>
      <c r="X122" s="50"/>
      <c r="Y122" s="50"/>
      <c r="Z122" s="50"/>
    </row>
    <row r="123" spans="1:26" ht="14.25" customHeight="1">
      <c r="A123" s="50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50"/>
      <c r="T123" s="50"/>
      <c r="U123" s="50"/>
      <c r="V123" s="50"/>
      <c r="W123" s="50"/>
      <c r="X123" s="50"/>
      <c r="Y123" s="50"/>
      <c r="Z123" s="50"/>
    </row>
    <row r="124" spans="1:26" ht="14.25" customHeight="1">
      <c r="A124" s="50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50"/>
      <c r="T124" s="50"/>
      <c r="U124" s="50"/>
      <c r="V124" s="50"/>
      <c r="W124" s="50"/>
      <c r="X124" s="50"/>
      <c r="Y124" s="50"/>
      <c r="Z124" s="50"/>
    </row>
    <row r="125" spans="1:26" ht="14.25" customHeight="1">
      <c r="A125" s="50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50"/>
      <c r="T125" s="50"/>
      <c r="U125" s="50"/>
      <c r="V125" s="50"/>
      <c r="W125" s="50"/>
      <c r="X125" s="50"/>
      <c r="Y125" s="50"/>
      <c r="Z125" s="50"/>
    </row>
    <row r="126" spans="1:26" ht="14.25" customHeight="1">
      <c r="A126" s="50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50"/>
      <c r="T126" s="50"/>
      <c r="U126" s="50"/>
      <c r="V126" s="50"/>
      <c r="W126" s="50"/>
      <c r="X126" s="50"/>
      <c r="Y126" s="50"/>
      <c r="Z126" s="50"/>
    </row>
    <row r="127" spans="1:26" ht="14.25" customHeight="1">
      <c r="A127" s="50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50"/>
      <c r="T127" s="50"/>
      <c r="U127" s="50"/>
      <c r="V127" s="50"/>
      <c r="W127" s="50"/>
      <c r="X127" s="50"/>
      <c r="Y127" s="50"/>
      <c r="Z127" s="50"/>
    </row>
    <row r="128" spans="1:26" ht="14.25" customHeight="1">
      <c r="A128" s="50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50"/>
      <c r="T128" s="50"/>
      <c r="U128" s="50"/>
      <c r="V128" s="50"/>
      <c r="W128" s="50"/>
      <c r="X128" s="50"/>
      <c r="Y128" s="50"/>
      <c r="Z128" s="50"/>
    </row>
    <row r="129" spans="1:26" ht="14.25" customHeight="1">
      <c r="A129" s="50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50"/>
      <c r="T129" s="50"/>
      <c r="U129" s="50"/>
      <c r="V129" s="50"/>
      <c r="W129" s="50"/>
      <c r="X129" s="50"/>
      <c r="Y129" s="50"/>
      <c r="Z129" s="50"/>
    </row>
    <row r="130" spans="1:26" ht="14.25" customHeight="1">
      <c r="A130" s="50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50"/>
      <c r="T130" s="50"/>
      <c r="U130" s="50"/>
      <c r="V130" s="50"/>
      <c r="W130" s="50"/>
      <c r="X130" s="50"/>
      <c r="Y130" s="50"/>
      <c r="Z130" s="50"/>
    </row>
    <row r="131" spans="1:26" ht="14.25" customHeight="1">
      <c r="A131" s="50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50"/>
      <c r="T131" s="50"/>
      <c r="U131" s="50"/>
      <c r="V131" s="50"/>
      <c r="W131" s="50"/>
      <c r="X131" s="50"/>
      <c r="Y131" s="50"/>
      <c r="Z131" s="50"/>
    </row>
    <row r="132" spans="1:26" ht="14.25" customHeight="1">
      <c r="A132" s="50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50"/>
      <c r="T132" s="50"/>
      <c r="U132" s="50"/>
      <c r="V132" s="50"/>
      <c r="W132" s="50"/>
      <c r="X132" s="50"/>
      <c r="Y132" s="50"/>
      <c r="Z132" s="50"/>
    </row>
    <row r="133" spans="1:26" ht="14.25" customHeight="1">
      <c r="A133" s="50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50"/>
      <c r="T133" s="50"/>
      <c r="U133" s="50"/>
      <c r="V133" s="50"/>
      <c r="W133" s="50"/>
      <c r="X133" s="50"/>
      <c r="Y133" s="50"/>
      <c r="Z133" s="50"/>
    </row>
    <row r="134" spans="1:26" ht="14.25" customHeight="1">
      <c r="A134" s="50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50"/>
      <c r="T134" s="50"/>
      <c r="U134" s="50"/>
      <c r="V134" s="50"/>
      <c r="W134" s="50"/>
      <c r="X134" s="50"/>
      <c r="Y134" s="50"/>
      <c r="Z134" s="50"/>
    </row>
    <row r="135" spans="1:26" ht="14.25" customHeight="1">
      <c r="A135" s="50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50"/>
      <c r="T135" s="50"/>
      <c r="U135" s="50"/>
      <c r="V135" s="50"/>
      <c r="W135" s="50"/>
      <c r="X135" s="50"/>
      <c r="Y135" s="50"/>
      <c r="Z135" s="50"/>
    </row>
    <row r="136" spans="1:26" ht="14.25" customHeight="1">
      <c r="A136" s="50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50"/>
      <c r="T136" s="50"/>
      <c r="U136" s="50"/>
      <c r="V136" s="50"/>
      <c r="W136" s="50"/>
      <c r="X136" s="50"/>
      <c r="Y136" s="50"/>
      <c r="Z136" s="50"/>
    </row>
    <row r="137" spans="1:26" ht="14.25" customHeight="1">
      <c r="A137" s="50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50"/>
      <c r="T137" s="50"/>
      <c r="U137" s="50"/>
      <c r="V137" s="50"/>
      <c r="W137" s="50"/>
      <c r="X137" s="50"/>
      <c r="Y137" s="50"/>
      <c r="Z137" s="50"/>
    </row>
    <row r="138" spans="1:26" ht="14.25" customHeight="1">
      <c r="A138" s="50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50"/>
      <c r="T138" s="50"/>
      <c r="U138" s="50"/>
      <c r="V138" s="50"/>
      <c r="W138" s="50"/>
      <c r="X138" s="50"/>
      <c r="Y138" s="50"/>
      <c r="Z138" s="50"/>
    </row>
    <row r="139" spans="1:26" ht="14.25" customHeight="1">
      <c r="A139" s="50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50"/>
      <c r="T139" s="50"/>
      <c r="U139" s="50"/>
      <c r="V139" s="50"/>
      <c r="W139" s="50"/>
      <c r="X139" s="50"/>
      <c r="Y139" s="50"/>
      <c r="Z139" s="50"/>
    </row>
    <row r="140" spans="1:26" ht="14.25" customHeight="1">
      <c r="A140" s="50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50"/>
      <c r="T140" s="50"/>
      <c r="U140" s="50"/>
      <c r="V140" s="50"/>
      <c r="W140" s="50"/>
      <c r="X140" s="50"/>
      <c r="Y140" s="50"/>
      <c r="Z140" s="50"/>
    </row>
    <row r="141" spans="1:26" ht="14.25" customHeight="1">
      <c r="A141" s="50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50"/>
      <c r="T141" s="50"/>
      <c r="U141" s="50"/>
      <c r="V141" s="50"/>
      <c r="W141" s="50"/>
      <c r="X141" s="50"/>
      <c r="Y141" s="50"/>
      <c r="Z141" s="50"/>
    </row>
    <row r="142" spans="1:26" ht="14.25" customHeight="1">
      <c r="A142" s="50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50"/>
      <c r="T142" s="50"/>
      <c r="U142" s="50"/>
      <c r="V142" s="50"/>
      <c r="W142" s="50"/>
      <c r="X142" s="50"/>
      <c r="Y142" s="50"/>
      <c r="Z142" s="50"/>
    </row>
    <row r="143" spans="1:26" ht="14.25" customHeight="1">
      <c r="A143" s="50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50"/>
      <c r="T143" s="50"/>
      <c r="U143" s="50"/>
      <c r="V143" s="50"/>
      <c r="W143" s="50"/>
      <c r="X143" s="50"/>
      <c r="Y143" s="50"/>
      <c r="Z143" s="50"/>
    </row>
    <row r="144" spans="1:26" ht="14.25" customHeight="1">
      <c r="A144" s="50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50"/>
      <c r="T144" s="50"/>
      <c r="U144" s="50"/>
      <c r="V144" s="50"/>
      <c r="W144" s="50"/>
      <c r="X144" s="50"/>
      <c r="Y144" s="50"/>
      <c r="Z144" s="50"/>
    </row>
    <row r="145" spans="1:26" ht="14.25" customHeight="1">
      <c r="A145" s="50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50"/>
      <c r="T145" s="50"/>
      <c r="U145" s="50"/>
      <c r="V145" s="50"/>
      <c r="W145" s="50"/>
      <c r="X145" s="50"/>
      <c r="Y145" s="50"/>
      <c r="Z145" s="50"/>
    </row>
    <row r="146" spans="1:26" ht="14.25" customHeight="1">
      <c r="A146" s="50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50"/>
      <c r="T146" s="50"/>
      <c r="U146" s="50"/>
      <c r="V146" s="50"/>
      <c r="W146" s="50"/>
      <c r="X146" s="50"/>
      <c r="Y146" s="50"/>
      <c r="Z146" s="50"/>
    </row>
    <row r="147" spans="1:26" ht="14.25" customHeight="1">
      <c r="A147" s="50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50"/>
      <c r="T147" s="50"/>
      <c r="U147" s="50"/>
      <c r="V147" s="50"/>
      <c r="W147" s="50"/>
      <c r="X147" s="50"/>
      <c r="Y147" s="50"/>
      <c r="Z147" s="50"/>
    </row>
    <row r="148" spans="1:26" ht="14.25" customHeight="1">
      <c r="A148" s="50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50"/>
      <c r="T148" s="50"/>
      <c r="U148" s="50"/>
      <c r="V148" s="50"/>
      <c r="W148" s="50"/>
      <c r="X148" s="50"/>
      <c r="Y148" s="50"/>
      <c r="Z148" s="50"/>
    </row>
    <row r="149" spans="1:26" ht="14.25" customHeight="1">
      <c r="A149" s="50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50"/>
      <c r="T149" s="50"/>
      <c r="U149" s="50"/>
      <c r="V149" s="50"/>
      <c r="W149" s="50"/>
      <c r="X149" s="50"/>
      <c r="Y149" s="50"/>
      <c r="Z149" s="50"/>
    </row>
    <row r="150" spans="1:26" ht="14.25" customHeight="1">
      <c r="A150" s="50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50"/>
      <c r="T150" s="50"/>
      <c r="U150" s="50"/>
      <c r="V150" s="50"/>
      <c r="W150" s="50"/>
      <c r="X150" s="50"/>
      <c r="Y150" s="50"/>
      <c r="Z150" s="50"/>
    </row>
    <row r="151" spans="1:26" ht="14.25" customHeight="1">
      <c r="A151" s="50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50"/>
      <c r="T151" s="50"/>
      <c r="U151" s="50"/>
      <c r="V151" s="50"/>
      <c r="W151" s="50"/>
      <c r="X151" s="50"/>
      <c r="Y151" s="50"/>
      <c r="Z151" s="50"/>
    </row>
    <row r="152" spans="1:26" ht="14.25" customHeight="1">
      <c r="A152" s="50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50"/>
      <c r="T152" s="50"/>
      <c r="U152" s="50"/>
      <c r="V152" s="50"/>
      <c r="W152" s="50"/>
      <c r="X152" s="50"/>
      <c r="Y152" s="50"/>
      <c r="Z152" s="50"/>
    </row>
    <row r="153" spans="1:26" ht="14.25" customHeight="1">
      <c r="A153" s="50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50"/>
      <c r="T153" s="50"/>
      <c r="U153" s="50"/>
      <c r="V153" s="50"/>
      <c r="W153" s="50"/>
      <c r="X153" s="50"/>
      <c r="Y153" s="50"/>
      <c r="Z153" s="50"/>
    </row>
    <row r="154" spans="1:26" ht="14.25" customHeight="1">
      <c r="A154" s="50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50"/>
      <c r="T154" s="50"/>
      <c r="U154" s="50"/>
      <c r="V154" s="50"/>
      <c r="W154" s="50"/>
      <c r="X154" s="50"/>
      <c r="Y154" s="50"/>
      <c r="Z154" s="50"/>
    </row>
    <row r="155" spans="1:26" ht="14.25" customHeight="1">
      <c r="A155" s="50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50"/>
      <c r="T155" s="50"/>
      <c r="U155" s="50"/>
      <c r="V155" s="50"/>
      <c r="W155" s="50"/>
      <c r="X155" s="50"/>
      <c r="Y155" s="50"/>
      <c r="Z155" s="50"/>
    </row>
    <row r="156" spans="1:26" ht="14.25" customHeight="1">
      <c r="A156" s="50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50"/>
      <c r="T156" s="50"/>
      <c r="U156" s="50"/>
      <c r="V156" s="50"/>
      <c r="W156" s="50"/>
      <c r="X156" s="50"/>
      <c r="Y156" s="50"/>
      <c r="Z156" s="50"/>
    </row>
    <row r="157" spans="1:26" ht="14.25" customHeight="1">
      <c r="A157" s="50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50"/>
      <c r="T157" s="50"/>
      <c r="U157" s="50"/>
      <c r="V157" s="50"/>
      <c r="W157" s="50"/>
      <c r="X157" s="50"/>
      <c r="Y157" s="50"/>
      <c r="Z157" s="50"/>
    </row>
    <row r="158" spans="1:26" ht="14.25" customHeight="1">
      <c r="A158" s="50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50"/>
      <c r="T158" s="50"/>
      <c r="U158" s="50"/>
      <c r="V158" s="50"/>
      <c r="W158" s="50"/>
      <c r="X158" s="50"/>
      <c r="Y158" s="50"/>
      <c r="Z158" s="50"/>
    </row>
    <row r="159" spans="1:26" ht="14.25" customHeight="1">
      <c r="A159" s="50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50"/>
      <c r="T159" s="50"/>
      <c r="U159" s="50"/>
      <c r="V159" s="50"/>
      <c r="W159" s="50"/>
      <c r="X159" s="50"/>
      <c r="Y159" s="50"/>
      <c r="Z159" s="50"/>
    </row>
    <row r="160" spans="1:26" ht="14.25" customHeight="1">
      <c r="A160" s="50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50"/>
      <c r="T160" s="50"/>
      <c r="U160" s="50"/>
      <c r="V160" s="50"/>
      <c r="W160" s="50"/>
      <c r="X160" s="50"/>
      <c r="Y160" s="50"/>
      <c r="Z160" s="50"/>
    </row>
    <row r="161" spans="1:26" ht="14.25" customHeight="1">
      <c r="A161" s="50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50"/>
      <c r="T161" s="50"/>
      <c r="U161" s="50"/>
      <c r="V161" s="50"/>
      <c r="W161" s="50"/>
      <c r="X161" s="50"/>
      <c r="Y161" s="50"/>
      <c r="Z161" s="50"/>
    </row>
    <row r="162" spans="1:26" ht="14.25" customHeight="1">
      <c r="A162" s="50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50"/>
      <c r="T162" s="50"/>
      <c r="U162" s="50"/>
      <c r="V162" s="50"/>
      <c r="W162" s="50"/>
      <c r="X162" s="50"/>
      <c r="Y162" s="50"/>
      <c r="Z162" s="50"/>
    </row>
    <row r="163" spans="1:26" ht="14.25" customHeight="1">
      <c r="A163" s="50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50"/>
      <c r="T163" s="50"/>
      <c r="U163" s="50"/>
      <c r="V163" s="50"/>
      <c r="W163" s="50"/>
      <c r="X163" s="50"/>
      <c r="Y163" s="50"/>
      <c r="Z163" s="50"/>
    </row>
    <row r="164" spans="1:26" ht="14.25" customHeight="1">
      <c r="A164" s="50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50"/>
      <c r="T164" s="50"/>
      <c r="U164" s="50"/>
      <c r="V164" s="50"/>
      <c r="W164" s="50"/>
      <c r="X164" s="50"/>
      <c r="Y164" s="50"/>
      <c r="Z164" s="50"/>
    </row>
    <row r="165" spans="1:26" ht="14.25" customHeight="1">
      <c r="A165" s="50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50"/>
      <c r="T165" s="50"/>
      <c r="U165" s="50"/>
      <c r="V165" s="50"/>
      <c r="W165" s="50"/>
      <c r="X165" s="50"/>
      <c r="Y165" s="50"/>
      <c r="Z165" s="50"/>
    </row>
    <row r="166" spans="1:26" ht="14.25" customHeight="1">
      <c r="A166" s="50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50"/>
      <c r="T166" s="50"/>
      <c r="U166" s="50"/>
      <c r="V166" s="50"/>
      <c r="W166" s="50"/>
      <c r="X166" s="50"/>
      <c r="Y166" s="50"/>
      <c r="Z166" s="50"/>
    </row>
    <row r="167" spans="1:26" ht="14.25" customHeight="1">
      <c r="A167" s="50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50"/>
      <c r="T167" s="50"/>
      <c r="U167" s="50"/>
      <c r="V167" s="50"/>
      <c r="W167" s="50"/>
      <c r="X167" s="50"/>
      <c r="Y167" s="50"/>
      <c r="Z167" s="50"/>
    </row>
    <row r="168" spans="1:26" ht="14.25" customHeight="1">
      <c r="A168" s="50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50"/>
      <c r="T168" s="50"/>
      <c r="U168" s="50"/>
      <c r="V168" s="50"/>
      <c r="W168" s="50"/>
      <c r="X168" s="50"/>
      <c r="Y168" s="50"/>
      <c r="Z168" s="50"/>
    </row>
    <row r="169" spans="1:26" ht="14.25" customHeight="1">
      <c r="A169" s="50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50"/>
      <c r="T169" s="50"/>
      <c r="U169" s="50"/>
      <c r="V169" s="50"/>
      <c r="W169" s="50"/>
      <c r="X169" s="50"/>
      <c r="Y169" s="50"/>
      <c r="Z169" s="50"/>
    </row>
    <row r="170" spans="1:26" ht="14.25" customHeight="1">
      <c r="A170" s="50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50"/>
      <c r="T170" s="50"/>
      <c r="U170" s="50"/>
      <c r="V170" s="50"/>
      <c r="W170" s="50"/>
      <c r="X170" s="50"/>
      <c r="Y170" s="50"/>
      <c r="Z170" s="50"/>
    </row>
    <row r="171" spans="1:26" ht="14.25" customHeight="1">
      <c r="A171" s="50"/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50"/>
      <c r="T171" s="50"/>
      <c r="U171" s="50"/>
      <c r="V171" s="50"/>
      <c r="W171" s="50"/>
      <c r="X171" s="50"/>
      <c r="Y171" s="50"/>
      <c r="Z171" s="50"/>
    </row>
    <row r="172" spans="1:26" ht="14.25" customHeight="1">
      <c r="A172" s="50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50"/>
      <c r="T172" s="50"/>
      <c r="U172" s="50"/>
      <c r="V172" s="50"/>
      <c r="W172" s="50"/>
      <c r="X172" s="50"/>
      <c r="Y172" s="50"/>
      <c r="Z172" s="50"/>
    </row>
    <row r="173" spans="1:26" ht="14.25" customHeight="1">
      <c r="A173" s="50"/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50"/>
      <c r="T173" s="50"/>
      <c r="U173" s="50"/>
      <c r="V173" s="50"/>
      <c r="W173" s="50"/>
      <c r="X173" s="50"/>
      <c r="Y173" s="50"/>
      <c r="Z173" s="50"/>
    </row>
    <row r="174" spans="1:26" ht="14.25" customHeight="1">
      <c r="A174" s="50"/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50"/>
      <c r="T174" s="50"/>
      <c r="U174" s="50"/>
      <c r="V174" s="50"/>
      <c r="W174" s="50"/>
      <c r="X174" s="50"/>
      <c r="Y174" s="50"/>
      <c r="Z174" s="50"/>
    </row>
    <row r="175" spans="1:26" ht="14.25" customHeight="1">
      <c r="A175" s="50"/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50"/>
      <c r="T175" s="50"/>
      <c r="U175" s="50"/>
      <c r="V175" s="50"/>
      <c r="W175" s="50"/>
      <c r="X175" s="50"/>
      <c r="Y175" s="50"/>
      <c r="Z175" s="50"/>
    </row>
    <row r="176" spans="1:26" ht="14.25" customHeight="1">
      <c r="A176" s="50"/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50"/>
      <c r="T176" s="50"/>
      <c r="U176" s="50"/>
      <c r="V176" s="50"/>
      <c r="W176" s="50"/>
      <c r="X176" s="50"/>
      <c r="Y176" s="50"/>
      <c r="Z176" s="50"/>
    </row>
    <row r="177" spans="1:26" ht="14.25" customHeight="1">
      <c r="A177" s="50"/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50"/>
      <c r="T177" s="50"/>
      <c r="U177" s="50"/>
      <c r="V177" s="50"/>
      <c r="W177" s="50"/>
      <c r="X177" s="50"/>
      <c r="Y177" s="50"/>
      <c r="Z177" s="50"/>
    </row>
    <row r="178" spans="1:26" ht="14.25" customHeight="1">
      <c r="A178" s="50"/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50"/>
      <c r="T178" s="50"/>
      <c r="U178" s="50"/>
      <c r="V178" s="50"/>
      <c r="W178" s="50"/>
      <c r="X178" s="50"/>
      <c r="Y178" s="50"/>
      <c r="Z178" s="50"/>
    </row>
    <row r="179" spans="1:26" ht="14.25" customHeight="1">
      <c r="A179" s="50"/>
      <c r="B179" s="191"/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50"/>
      <c r="T179" s="50"/>
      <c r="U179" s="50"/>
      <c r="V179" s="50"/>
      <c r="W179" s="50"/>
      <c r="X179" s="50"/>
      <c r="Y179" s="50"/>
      <c r="Z179" s="50"/>
    </row>
    <row r="180" spans="1:26" ht="14.25" customHeight="1">
      <c r="A180" s="50"/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50"/>
      <c r="T180" s="50"/>
      <c r="U180" s="50"/>
      <c r="V180" s="50"/>
      <c r="W180" s="50"/>
      <c r="X180" s="50"/>
      <c r="Y180" s="50"/>
      <c r="Z180" s="50"/>
    </row>
    <row r="181" spans="1:26" ht="14.25" customHeight="1">
      <c r="A181" s="50"/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50"/>
      <c r="T181" s="50"/>
      <c r="U181" s="50"/>
      <c r="V181" s="50"/>
      <c r="W181" s="50"/>
      <c r="X181" s="50"/>
      <c r="Y181" s="50"/>
      <c r="Z181" s="50"/>
    </row>
    <row r="182" spans="1:26" ht="14.25" customHeight="1">
      <c r="A182" s="50"/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50"/>
      <c r="T182" s="50"/>
      <c r="U182" s="50"/>
      <c r="V182" s="50"/>
      <c r="W182" s="50"/>
      <c r="X182" s="50"/>
      <c r="Y182" s="50"/>
      <c r="Z182" s="50"/>
    </row>
    <row r="183" spans="1:26" ht="14.25" customHeight="1">
      <c r="A183" s="50"/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50"/>
      <c r="T183" s="50"/>
      <c r="U183" s="50"/>
      <c r="V183" s="50"/>
      <c r="W183" s="50"/>
      <c r="X183" s="50"/>
      <c r="Y183" s="50"/>
      <c r="Z183" s="50"/>
    </row>
    <row r="184" spans="1:26" ht="14.25" customHeight="1">
      <c r="A184" s="50"/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50"/>
      <c r="T184" s="50"/>
      <c r="U184" s="50"/>
      <c r="V184" s="50"/>
      <c r="W184" s="50"/>
      <c r="X184" s="50"/>
      <c r="Y184" s="50"/>
      <c r="Z184" s="50"/>
    </row>
    <row r="185" spans="1:26" ht="14.25" customHeight="1">
      <c r="A185" s="50"/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50"/>
      <c r="T185" s="50"/>
      <c r="U185" s="50"/>
      <c r="V185" s="50"/>
      <c r="W185" s="50"/>
      <c r="X185" s="50"/>
      <c r="Y185" s="50"/>
      <c r="Z185" s="50"/>
    </row>
    <row r="186" spans="1:26" ht="14.25" customHeight="1">
      <c r="A186" s="50"/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50"/>
      <c r="T186" s="50"/>
      <c r="U186" s="50"/>
      <c r="V186" s="50"/>
      <c r="W186" s="50"/>
      <c r="X186" s="50"/>
      <c r="Y186" s="50"/>
      <c r="Z186" s="50"/>
    </row>
    <row r="187" spans="1:26" ht="14.25" customHeight="1">
      <c r="A187" s="50"/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50"/>
      <c r="T187" s="50"/>
      <c r="U187" s="50"/>
      <c r="V187" s="50"/>
      <c r="W187" s="50"/>
      <c r="X187" s="50"/>
      <c r="Y187" s="50"/>
      <c r="Z187" s="50"/>
    </row>
    <row r="188" spans="1:26" ht="14.25" customHeight="1">
      <c r="A188" s="50"/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50"/>
      <c r="T188" s="50"/>
      <c r="U188" s="50"/>
      <c r="V188" s="50"/>
      <c r="W188" s="50"/>
      <c r="X188" s="50"/>
      <c r="Y188" s="50"/>
      <c r="Z188" s="50"/>
    </row>
    <row r="189" spans="1:26" ht="14.25" customHeight="1">
      <c r="A189" s="50"/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50"/>
      <c r="T189" s="50"/>
      <c r="U189" s="50"/>
      <c r="V189" s="50"/>
      <c r="W189" s="50"/>
      <c r="X189" s="50"/>
      <c r="Y189" s="50"/>
      <c r="Z189" s="50"/>
    </row>
    <row r="190" spans="1:26" ht="14.25" customHeight="1">
      <c r="A190" s="50"/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50"/>
      <c r="T190" s="50"/>
      <c r="U190" s="50"/>
      <c r="V190" s="50"/>
      <c r="W190" s="50"/>
      <c r="X190" s="50"/>
      <c r="Y190" s="50"/>
      <c r="Z190" s="50"/>
    </row>
    <row r="191" spans="1:26" ht="14.25" customHeight="1">
      <c r="A191" s="50"/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50"/>
      <c r="T191" s="50"/>
      <c r="U191" s="50"/>
      <c r="V191" s="50"/>
      <c r="W191" s="50"/>
      <c r="X191" s="50"/>
      <c r="Y191" s="50"/>
      <c r="Z191" s="50"/>
    </row>
    <row r="192" spans="1:26" ht="14.25" customHeight="1">
      <c r="A192" s="50"/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50"/>
      <c r="T192" s="50"/>
      <c r="U192" s="50"/>
      <c r="V192" s="50"/>
      <c r="W192" s="50"/>
      <c r="X192" s="50"/>
      <c r="Y192" s="50"/>
      <c r="Z192" s="50"/>
    </row>
    <row r="193" spans="1:26" ht="14.25" customHeight="1">
      <c r="A193" s="50"/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50"/>
      <c r="T193" s="50"/>
      <c r="U193" s="50"/>
      <c r="V193" s="50"/>
      <c r="W193" s="50"/>
      <c r="X193" s="50"/>
      <c r="Y193" s="50"/>
      <c r="Z193" s="50"/>
    </row>
    <row r="194" spans="1:26" ht="14.25" customHeight="1">
      <c r="A194" s="50"/>
      <c r="B194" s="191"/>
      <c r="C194" s="191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50"/>
      <c r="T194" s="50"/>
      <c r="U194" s="50"/>
      <c r="V194" s="50"/>
      <c r="W194" s="50"/>
      <c r="X194" s="50"/>
      <c r="Y194" s="50"/>
      <c r="Z194" s="50"/>
    </row>
    <row r="195" spans="1:26" ht="14.25" customHeight="1">
      <c r="A195" s="50"/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50"/>
      <c r="T195" s="50"/>
      <c r="U195" s="50"/>
      <c r="V195" s="50"/>
      <c r="W195" s="50"/>
      <c r="X195" s="50"/>
      <c r="Y195" s="50"/>
      <c r="Z195" s="50"/>
    </row>
    <row r="196" spans="1:26" ht="14.25" customHeight="1">
      <c r="A196" s="50"/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50"/>
      <c r="T196" s="50"/>
      <c r="U196" s="50"/>
      <c r="V196" s="50"/>
      <c r="W196" s="50"/>
      <c r="X196" s="50"/>
      <c r="Y196" s="50"/>
      <c r="Z196" s="50"/>
    </row>
    <row r="197" spans="1:26" ht="14.25" customHeight="1">
      <c r="A197" s="50"/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50"/>
      <c r="T197" s="50"/>
      <c r="U197" s="50"/>
      <c r="V197" s="50"/>
      <c r="W197" s="50"/>
      <c r="X197" s="50"/>
      <c r="Y197" s="50"/>
      <c r="Z197" s="50"/>
    </row>
    <row r="198" spans="1:26" ht="14.25" customHeight="1">
      <c r="A198" s="50"/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50"/>
      <c r="T198" s="50"/>
      <c r="U198" s="50"/>
      <c r="V198" s="50"/>
      <c r="W198" s="50"/>
      <c r="X198" s="50"/>
      <c r="Y198" s="50"/>
      <c r="Z198" s="50"/>
    </row>
    <row r="199" spans="1:26" ht="14.25" customHeight="1">
      <c r="A199" s="50"/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50"/>
      <c r="T199" s="50"/>
      <c r="U199" s="50"/>
      <c r="V199" s="50"/>
      <c r="W199" s="50"/>
      <c r="X199" s="50"/>
      <c r="Y199" s="50"/>
      <c r="Z199" s="50"/>
    </row>
    <row r="200" spans="1:26" ht="14.25" customHeight="1">
      <c r="A200" s="50"/>
      <c r="B200" s="191"/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50"/>
      <c r="T200" s="50"/>
      <c r="U200" s="50"/>
      <c r="V200" s="50"/>
      <c r="W200" s="50"/>
      <c r="X200" s="50"/>
      <c r="Y200" s="50"/>
      <c r="Z200" s="50"/>
    </row>
    <row r="201" spans="1:26" ht="14.25" customHeight="1">
      <c r="A201" s="50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50"/>
      <c r="T201" s="50"/>
      <c r="U201" s="50"/>
      <c r="V201" s="50"/>
      <c r="W201" s="50"/>
      <c r="X201" s="50"/>
      <c r="Y201" s="50"/>
      <c r="Z201" s="50"/>
    </row>
    <row r="202" spans="1:26" ht="14.25" customHeight="1">
      <c r="A202" s="50"/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50"/>
      <c r="T202" s="50"/>
      <c r="U202" s="50"/>
      <c r="V202" s="50"/>
      <c r="W202" s="50"/>
      <c r="X202" s="50"/>
      <c r="Y202" s="50"/>
      <c r="Z202" s="50"/>
    </row>
    <row r="203" spans="1:26" ht="14.25" customHeight="1">
      <c r="A203" s="50"/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50"/>
      <c r="T203" s="50"/>
      <c r="U203" s="50"/>
      <c r="V203" s="50"/>
      <c r="W203" s="50"/>
      <c r="X203" s="50"/>
      <c r="Y203" s="50"/>
      <c r="Z203" s="50"/>
    </row>
    <row r="204" spans="1:26" ht="14.25" customHeight="1">
      <c r="A204" s="50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50"/>
      <c r="T204" s="50"/>
      <c r="U204" s="50"/>
      <c r="V204" s="50"/>
      <c r="W204" s="50"/>
      <c r="X204" s="50"/>
      <c r="Y204" s="50"/>
      <c r="Z204" s="50"/>
    </row>
    <row r="205" spans="1:26" ht="14.25" customHeight="1">
      <c r="A205" s="50"/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50"/>
      <c r="T205" s="50"/>
      <c r="U205" s="50"/>
      <c r="V205" s="50"/>
      <c r="W205" s="50"/>
      <c r="X205" s="50"/>
      <c r="Y205" s="50"/>
      <c r="Z205" s="50"/>
    </row>
    <row r="206" spans="1:26" ht="14.25" customHeight="1">
      <c r="A206" s="50"/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50"/>
      <c r="T206" s="50"/>
      <c r="U206" s="50"/>
      <c r="V206" s="50"/>
      <c r="W206" s="50"/>
      <c r="X206" s="50"/>
      <c r="Y206" s="50"/>
      <c r="Z206" s="50"/>
    </row>
    <row r="207" spans="1:26" ht="14.25" customHeight="1">
      <c r="A207" s="50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50"/>
      <c r="T207" s="50"/>
      <c r="U207" s="50"/>
      <c r="V207" s="50"/>
      <c r="W207" s="50"/>
      <c r="X207" s="50"/>
      <c r="Y207" s="50"/>
      <c r="Z207" s="50"/>
    </row>
    <row r="208" spans="1:26" ht="14.25" customHeight="1">
      <c r="A208" s="50"/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50"/>
      <c r="T208" s="50"/>
      <c r="U208" s="50"/>
      <c r="V208" s="50"/>
      <c r="W208" s="50"/>
      <c r="X208" s="50"/>
      <c r="Y208" s="50"/>
      <c r="Z208" s="50"/>
    </row>
    <row r="209" spans="1:26" ht="14.25" customHeight="1">
      <c r="A209" s="50"/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50"/>
      <c r="T209" s="50"/>
      <c r="U209" s="50"/>
      <c r="V209" s="50"/>
      <c r="W209" s="50"/>
      <c r="X209" s="50"/>
      <c r="Y209" s="50"/>
      <c r="Z209" s="50"/>
    </row>
    <row r="210" spans="1:26" ht="14.25" customHeight="1">
      <c r="A210" s="50"/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50"/>
      <c r="T210" s="50"/>
      <c r="U210" s="50"/>
      <c r="V210" s="50"/>
      <c r="W210" s="50"/>
      <c r="X210" s="50"/>
      <c r="Y210" s="50"/>
      <c r="Z210" s="50"/>
    </row>
    <row r="211" spans="1:26" ht="14.25" customHeight="1">
      <c r="A211" s="50"/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50"/>
      <c r="T211" s="50"/>
      <c r="U211" s="50"/>
      <c r="V211" s="50"/>
      <c r="W211" s="50"/>
      <c r="X211" s="50"/>
      <c r="Y211" s="50"/>
      <c r="Z211" s="50"/>
    </row>
    <row r="212" spans="1:26" ht="14.25" customHeight="1">
      <c r="A212" s="50"/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50"/>
      <c r="T212" s="50"/>
      <c r="U212" s="50"/>
      <c r="V212" s="50"/>
      <c r="W212" s="50"/>
      <c r="X212" s="50"/>
      <c r="Y212" s="50"/>
      <c r="Z212" s="50"/>
    </row>
    <row r="213" spans="1:26" ht="14.25" customHeight="1">
      <c r="A213" s="50"/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50"/>
      <c r="T213" s="50"/>
      <c r="U213" s="50"/>
      <c r="V213" s="50"/>
      <c r="W213" s="50"/>
      <c r="X213" s="50"/>
      <c r="Y213" s="50"/>
      <c r="Z213" s="50"/>
    </row>
    <row r="214" spans="1:26" ht="14.25" customHeight="1">
      <c r="A214" s="50"/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50"/>
      <c r="T214" s="50"/>
      <c r="U214" s="50"/>
      <c r="V214" s="50"/>
      <c r="W214" s="50"/>
      <c r="X214" s="50"/>
      <c r="Y214" s="50"/>
      <c r="Z214" s="50"/>
    </row>
    <row r="215" spans="1:26" ht="14.25" customHeight="1">
      <c r="A215" s="50"/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50"/>
      <c r="T215" s="50"/>
      <c r="U215" s="50"/>
      <c r="V215" s="50"/>
      <c r="W215" s="50"/>
      <c r="X215" s="50"/>
      <c r="Y215" s="50"/>
      <c r="Z215" s="50"/>
    </row>
    <row r="216" spans="1:26" ht="14.25" customHeight="1">
      <c r="A216" s="50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50"/>
      <c r="T216" s="50"/>
      <c r="U216" s="50"/>
      <c r="V216" s="50"/>
      <c r="W216" s="50"/>
      <c r="X216" s="50"/>
      <c r="Y216" s="50"/>
      <c r="Z216" s="50"/>
    </row>
    <row r="217" spans="1:26" ht="14.25" customHeight="1">
      <c r="A217" s="50"/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50"/>
      <c r="T217" s="50"/>
      <c r="U217" s="50"/>
      <c r="V217" s="50"/>
      <c r="W217" s="50"/>
      <c r="X217" s="50"/>
      <c r="Y217" s="50"/>
      <c r="Z217" s="50"/>
    </row>
    <row r="218" spans="1:26" ht="14.25" customHeight="1">
      <c r="A218" s="50"/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50"/>
      <c r="T218" s="50"/>
      <c r="U218" s="50"/>
      <c r="V218" s="50"/>
      <c r="W218" s="50"/>
      <c r="X218" s="50"/>
      <c r="Y218" s="50"/>
      <c r="Z218" s="50"/>
    </row>
    <row r="219" spans="1:26" ht="14.25" customHeight="1">
      <c r="A219" s="50"/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50"/>
      <c r="T219" s="50"/>
      <c r="U219" s="50"/>
      <c r="V219" s="50"/>
      <c r="W219" s="50"/>
      <c r="X219" s="50"/>
      <c r="Y219" s="50"/>
      <c r="Z219" s="50"/>
    </row>
    <row r="220" spans="1:26" ht="14.25" customHeight="1">
      <c r="A220" s="50"/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50"/>
      <c r="T220" s="50"/>
      <c r="U220" s="50"/>
      <c r="V220" s="50"/>
      <c r="W220" s="50"/>
      <c r="X220" s="50"/>
      <c r="Y220" s="50"/>
      <c r="Z220" s="50"/>
    </row>
    <row r="221" spans="1:26" ht="14.25" customHeight="1">
      <c r="A221" s="50"/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50"/>
      <c r="T221" s="50"/>
      <c r="U221" s="50"/>
      <c r="V221" s="50"/>
      <c r="W221" s="50"/>
      <c r="X221" s="50"/>
      <c r="Y221" s="50"/>
      <c r="Z221" s="50"/>
    </row>
    <row r="222" spans="1:26" ht="14.25" customHeight="1">
      <c r="A222" s="50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50"/>
      <c r="T222" s="50"/>
      <c r="U222" s="50"/>
      <c r="V222" s="50"/>
      <c r="W222" s="50"/>
      <c r="X222" s="50"/>
      <c r="Y222" s="50"/>
      <c r="Z222" s="50"/>
    </row>
    <row r="223" spans="1:26" ht="14.25" customHeight="1">
      <c r="A223" s="50"/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50"/>
      <c r="T223" s="50"/>
      <c r="U223" s="50"/>
      <c r="V223" s="50"/>
      <c r="W223" s="50"/>
      <c r="X223" s="50"/>
      <c r="Y223" s="50"/>
      <c r="Z223" s="50"/>
    </row>
    <row r="224" spans="1:26" ht="14.25" customHeight="1">
      <c r="A224" s="50"/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50"/>
      <c r="T224" s="50"/>
      <c r="U224" s="50"/>
      <c r="V224" s="50"/>
      <c r="W224" s="50"/>
      <c r="X224" s="50"/>
      <c r="Y224" s="50"/>
      <c r="Z224" s="50"/>
    </row>
    <row r="225" spans="1:26" ht="14.25" customHeight="1">
      <c r="A225" s="50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50"/>
      <c r="T225" s="50"/>
      <c r="U225" s="50"/>
      <c r="V225" s="50"/>
      <c r="W225" s="50"/>
      <c r="X225" s="50"/>
      <c r="Y225" s="50"/>
      <c r="Z225" s="50"/>
    </row>
    <row r="226" spans="1:26" ht="14.25" customHeight="1">
      <c r="A226" s="50"/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50"/>
      <c r="T226" s="50"/>
      <c r="U226" s="50"/>
      <c r="V226" s="50"/>
      <c r="W226" s="50"/>
      <c r="X226" s="50"/>
      <c r="Y226" s="50"/>
      <c r="Z226" s="50"/>
    </row>
    <row r="227" spans="1:26" ht="14.25" customHeight="1">
      <c r="A227" s="50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50"/>
      <c r="T227" s="50"/>
      <c r="U227" s="50"/>
      <c r="V227" s="50"/>
      <c r="W227" s="50"/>
      <c r="X227" s="50"/>
      <c r="Y227" s="50"/>
      <c r="Z227" s="50"/>
    </row>
    <row r="228" spans="1:26" ht="14.25" customHeight="1">
      <c r="A228" s="50"/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50"/>
      <c r="T228" s="50"/>
      <c r="U228" s="50"/>
      <c r="V228" s="50"/>
      <c r="W228" s="50"/>
      <c r="X228" s="50"/>
      <c r="Y228" s="50"/>
      <c r="Z228" s="50"/>
    </row>
    <row r="229" spans="1:26" ht="14.25" customHeight="1">
      <c r="A229" s="50"/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50"/>
      <c r="T229" s="50"/>
      <c r="U229" s="50"/>
      <c r="V229" s="50"/>
      <c r="W229" s="50"/>
      <c r="X229" s="50"/>
      <c r="Y229" s="50"/>
      <c r="Z229" s="50"/>
    </row>
    <row r="230" spans="1:26" ht="14.25" customHeight="1">
      <c r="A230" s="50"/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50"/>
      <c r="T230" s="50"/>
      <c r="U230" s="50"/>
      <c r="V230" s="50"/>
      <c r="W230" s="50"/>
      <c r="X230" s="50"/>
      <c r="Y230" s="50"/>
      <c r="Z230" s="50"/>
    </row>
    <row r="231" spans="1:26" ht="14.25" customHeight="1">
      <c r="A231" s="50"/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  <c r="S231" s="50"/>
      <c r="T231" s="50"/>
      <c r="U231" s="50"/>
      <c r="V231" s="50"/>
      <c r="W231" s="50"/>
      <c r="X231" s="50"/>
      <c r="Y231" s="50"/>
      <c r="Z231" s="50"/>
    </row>
    <row r="232" spans="1:26" ht="14.25" customHeight="1">
      <c r="A232" s="50"/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50"/>
      <c r="T232" s="50"/>
      <c r="U232" s="50"/>
      <c r="V232" s="50"/>
      <c r="W232" s="50"/>
      <c r="X232" s="50"/>
      <c r="Y232" s="50"/>
      <c r="Z232" s="50"/>
    </row>
    <row r="233" spans="1:26" ht="14.25" customHeight="1">
      <c r="A233" s="50"/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50"/>
      <c r="T233" s="50"/>
      <c r="U233" s="50"/>
      <c r="V233" s="50"/>
      <c r="W233" s="50"/>
      <c r="X233" s="50"/>
      <c r="Y233" s="50"/>
      <c r="Z233" s="50"/>
    </row>
    <row r="234" spans="1:26" ht="14.25" customHeight="1">
      <c r="A234" s="50"/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50"/>
      <c r="T234" s="50"/>
      <c r="U234" s="50"/>
      <c r="V234" s="50"/>
      <c r="W234" s="50"/>
      <c r="X234" s="50"/>
      <c r="Y234" s="50"/>
      <c r="Z234" s="50"/>
    </row>
    <row r="235" spans="1:26" ht="14.25" customHeight="1">
      <c r="A235" s="50"/>
      <c r="B235" s="191"/>
      <c r="C235" s="191"/>
      <c r="D235" s="191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50"/>
      <c r="T235" s="50"/>
      <c r="U235" s="50"/>
      <c r="V235" s="50"/>
      <c r="W235" s="50"/>
      <c r="X235" s="50"/>
      <c r="Y235" s="50"/>
      <c r="Z235" s="50"/>
    </row>
    <row r="236" spans="1:26" ht="14.25" customHeight="1">
      <c r="A236" s="50"/>
      <c r="B236" s="191"/>
      <c r="C236" s="191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50"/>
      <c r="T236" s="50"/>
      <c r="U236" s="50"/>
      <c r="V236" s="50"/>
      <c r="W236" s="50"/>
      <c r="X236" s="50"/>
      <c r="Y236" s="50"/>
      <c r="Z236" s="50"/>
    </row>
    <row r="237" spans="1:26" ht="14.25" customHeight="1">
      <c r="A237" s="50"/>
      <c r="B237" s="191"/>
      <c r="C237" s="191"/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50"/>
      <c r="T237" s="50"/>
      <c r="U237" s="50"/>
      <c r="V237" s="50"/>
      <c r="W237" s="50"/>
      <c r="X237" s="50"/>
      <c r="Y237" s="50"/>
      <c r="Z237" s="50"/>
    </row>
    <row r="238" spans="1:26" ht="14.25" customHeight="1">
      <c r="A238" s="50"/>
      <c r="B238" s="191"/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50"/>
      <c r="T238" s="50"/>
      <c r="U238" s="50"/>
      <c r="V238" s="50"/>
      <c r="W238" s="50"/>
      <c r="X238" s="50"/>
      <c r="Y238" s="50"/>
      <c r="Z238" s="50"/>
    </row>
    <row r="239" spans="1:26" ht="15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5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5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5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5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5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5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5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5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5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5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5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5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5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5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5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5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5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5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5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5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5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5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5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5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5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5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5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5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5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5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5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5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5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5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5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5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5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5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5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5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5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5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5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5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5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5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5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5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5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5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5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5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5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5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5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5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5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5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5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5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5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5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5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5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5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5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5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5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5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5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5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5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5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5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5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5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5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5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5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5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5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5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5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5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5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5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5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5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5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5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5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5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5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5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5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5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5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5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5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5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5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5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5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5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5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5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5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5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5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5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5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5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5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5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5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5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5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5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5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5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5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5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5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5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5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5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5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5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5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5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5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5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5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5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5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5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5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5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5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5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5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5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5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5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5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5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5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5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5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5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5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5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5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5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5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5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5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5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5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5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5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5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5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5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5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5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5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5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5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5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5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5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5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5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5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5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5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5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5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5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5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5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5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5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5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5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5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5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5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5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5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5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5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5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5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5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5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5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5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5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5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5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5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5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5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5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5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5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5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5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5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5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5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5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5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5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5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5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5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5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5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5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5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5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5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5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5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5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5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5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5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5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5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5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5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5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5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5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5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5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5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5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5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5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5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5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5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5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5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5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5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5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5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5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5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5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5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5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5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5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5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5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5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5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5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5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5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5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5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5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5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5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5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5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5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5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5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5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5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5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5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5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5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5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5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5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5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5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5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5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5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5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5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5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5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5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5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5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5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5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5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5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5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5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5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5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5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5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5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5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5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5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5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5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5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5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5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5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5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5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5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5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5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5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5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5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5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5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5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5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5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5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5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5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5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5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5.7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5.7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5.7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5.7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5.7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5.7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5.7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5.7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5.7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5.7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5.7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5.7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5.7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5.7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5.7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5.7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5.7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5.7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5.7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5.7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5.7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5.7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5.7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5.7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5.7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5.7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5.7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5.7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5.7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5.7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5.7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5.7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5.7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5.7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5.7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5.7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5.7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5.7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5.7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5.7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5.7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5.7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5.7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5.7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5.7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5.7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5.7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5.7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5.7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5.7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5.7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5.7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5.7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5.7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5.7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5.7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5.7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5.7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5.7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5.7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5.7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5.7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5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5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5.7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5.7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5.7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5.7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5.7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5.7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5.7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5.7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5.7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5.7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5.7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5.7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5.7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5.7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5.7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5.7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5.7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5.7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5.7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5.7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5.7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5.7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5.7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5.7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5.7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5.7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5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5.7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5.7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5.7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5.7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5.7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5.7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5.7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5.7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5.7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5.7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5.7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5.7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5.7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5.7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5.7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5.7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5.7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5.7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5.7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5.7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5.7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5.7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5.7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5.7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5.7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5.7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5.7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5.7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5.7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5.7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5.7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5.7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5.7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5.7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5.7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5.7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5.7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5.7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5.7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5.7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5.7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5.7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5.7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5.7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5.7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5.7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5.7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5.7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5.7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5.7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5.7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5.7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5.7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5.7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5.7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5.7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5.7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5.7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5.7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5.7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5.7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5.7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5.7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5.7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5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5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5.7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5.7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5.7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5.7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5.7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5.7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5.7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5.7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5.7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5.7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5.7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5.7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5.7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5.7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5.7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5.7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5.7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5.7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5.7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5.7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5.7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5.7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5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5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5.7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5.7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5.7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5.7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5.7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5.7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5.7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5.7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5.7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5.7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5.7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5.7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5.7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5.7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5.7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5.7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5.7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5.7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5.7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5.7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5.7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5.7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5.7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5.7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5.7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5.7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5.7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5.7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5.7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5.7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5.7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5.7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5.7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5.7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5.7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5.7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5.7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5.7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5.7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5.7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5.7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5.7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5.7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5.7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5.7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5.7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5.7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5.7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5.7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5.7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5.7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5.7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5.7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5.7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5.7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5.7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5.7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5.7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5.7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5.7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5.7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5.7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5.7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5.7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5.7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5.7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5.7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5.7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5.7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5.7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5.7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5.7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5.7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5.7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5.7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5.7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5.7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5.7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5.7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5.7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5.7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5.7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5.7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5.7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5.7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5.7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5.7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5.7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5.7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5.7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5.7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5.7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5.7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5.7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5.7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5.7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5.7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5.7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5.7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5.7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5.7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5.7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5.7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5.7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5.7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5.7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5.7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5.7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5.7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5.7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5.7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5.7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5.7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5.7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5.7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5.7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5.7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5.7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5.7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5.7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5.7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5.7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5.7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5.7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5.7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5.7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5.7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5.7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5.7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5.7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5.7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5.7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5.7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5.7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5.7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5.7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5.7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5.7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5.7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5.7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5.7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5.7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5.7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5.7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5.7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5.7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5.7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5.7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5.7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5.7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5.7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5.7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5.7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5.7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5.7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5.7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5.7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5.7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5.7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5.7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5.7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5.7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5.7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5.7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5.7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5.7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5.7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5.7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5.7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5.7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5.7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5.7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5.7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5.7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5.7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5.7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5.7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5.7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5.7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5.7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5.7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5.7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5.7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5.7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5.7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5.7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5.7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5.7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5.7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5.7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5.7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5.7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5.7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5.7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5.7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5.7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5.7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5.7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5.7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5.7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5.7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5.7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5.7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5.7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5.7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5.7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5.7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5.7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5.7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5.7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5.7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5.7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5.7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5.7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5.7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5.7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5.7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5.7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5.7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5.7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5.7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5.7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5.7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5.7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5.7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5.7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5.7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5.7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5.7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5.7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5.7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5.7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5.75" customHeight="1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5.75" customHeight="1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5.75" customHeight="1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5.75" customHeight="1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4">
    <mergeCell ref="C15:E15"/>
    <mergeCell ref="C38:E38"/>
    <mergeCell ref="B2:E2"/>
    <mergeCell ref="B3:E3"/>
    <mergeCell ref="C4:D4"/>
    <mergeCell ref="C5:D5"/>
    <mergeCell ref="B6:E6"/>
    <mergeCell ref="B7:B8"/>
    <mergeCell ref="D7:E8"/>
    <mergeCell ref="D9:E9"/>
    <mergeCell ref="C10:E10"/>
    <mergeCell ref="B11:E11"/>
    <mergeCell ref="B12:B14"/>
    <mergeCell ref="C12:C14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fitToPage="1"/>
  </sheetPr>
  <dimension ref="A1:W1000"/>
  <sheetViews>
    <sheetView workbookViewId="0">
      <pane ySplit="11" topLeftCell="A12" activePane="bottomLeft" state="frozen"/>
      <selection pane="bottomLeft" activeCell="B13" sqref="B13"/>
    </sheetView>
  </sheetViews>
  <sheetFormatPr baseColWidth="10" defaultColWidth="12.58203125" defaultRowHeight="15" customHeight="1"/>
  <cols>
    <col min="1" max="1" width="33" customWidth="1"/>
    <col min="2" max="2" width="16.58203125" customWidth="1"/>
    <col min="3" max="3" width="15.5" customWidth="1"/>
    <col min="4" max="4" width="15.08203125" customWidth="1"/>
    <col min="5" max="5" width="15.25" customWidth="1"/>
    <col min="6" max="6" width="14.75" customWidth="1"/>
    <col min="7" max="7" width="15.83203125" customWidth="1"/>
    <col min="8" max="8" width="16.25" customWidth="1"/>
    <col min="9" max="9" width="15" customWidth="1"/>
    <col min="10" max="11" width="13.75" customWidth="1"/>
    <col min="12" max="12" width="13.33203125" customWidth="1"/>
    <col min="13" max="13" width="11.58203125" customWidth="1"/>
    <col min="14" max="14" width="14.58203125" customWidth="1"/>
    <col min="15" max="15" width="8.58203125" customWidth="1"/>
    <col min="16" max="16" width="11.75" customWidth="1"/>
    <col min="17" max="23" width="8.58203125" customWidth="1"/>
  </cols>
  <sheetData>
    <row r="1" spans="1:2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357" t="s">
        <v>201</v>
      </c>
      <c r="B2" s="342"/>
      <c r="C2" s="342"/>
      <c r="D2" s="342"/>
      <c r="E2" s="342"/>
      <c r="F2" s="342"/>
      <c r="G2" s="342"/>
      <c r="H2" s="342"/>
      <c r="I2" s="342"/>
      <c r="J2" s="34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customHeight="1">
      <c r="A3" s="357" t="s">
        <v>202</v>
      </c>
      <c r="B3" s="342"/>
      <c r="C3" s="342"/>
      <c r="D3" s="342"/>
      <c r="E3" s="342"/>
      <c r="F3" s="342"/>
      <c r="G3" s="342"/>
      <c r="H3" s="342"/>
      <c r="I3" s="342"/>
      <c r="J3" s="34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5" customHeight="1">
      <c r="A4" s="2" t="s">
        <v>0</v>
      </c>
      <c r="B4" s="358" t="s">
        <v>1</v>
      </c>
      <c r="C4" s="343"/>
      <c r="D4" s="2" t="s">
        <v>107</v>
      </c>
      <c r="E4" s="2" t="s">
        <v>203</v>
      </c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6.5" customHeight="1">
      <c r="A5" s="6">
        <v>43613</v>
      </c>
      <c r="B5" s="359">
        <v>44005</v>
      </c>
      <c r="C5" s="343"/>
      <c r="D5" s="2" t="s">
        <v>204</v>
      </c>
      <c r="E5" s="232">
        <v>44035</v>
      </c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6.5" customHeight="1">
      <c r="A6" s="358" t="s">
        <v>21</v>
      </c>
      <c r="B6" s="342"/>
      <c r="C6" s="342"/>
      <c r="D6" s="342"/>
      <c r="E6" s="342"/>
      <c r="F6" s="342"/>
      <c r="G6" s="343"/>
      <c r="H6" s="409" t="s">
        <v>179</v>
      </c>
      <c r="I6" s="342"/>
      <c r="J6" s="34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6.5" customHeight="1">
      <c r="A7" s="360" t="s">
        <v>199</v>
      </c>
      <c r="B7" s="2" t="s">
        <v>205</v>
      </c>
      <c r="C7" s="2" t="s">
        <v>206</v>
      </c>
      <c r="D7" s="2" t="s">
        <v>207</v>
      </c>
      <c r="E7" s="2" t="s">
        <v>208</v>
      </c>
      <c r="F7" s="2" t="s">
        <v>209</v>
      </c>
      <c r="G7" s="2" t="s">
        <v>210</v>
      </c>
      <c r="H7" s="9" t="s">
        <v>205</v>
      </c>
      <c r="I7" s="9" t="s">
        <v>211</v>
      </c>
      <c r="J7" s="9" t="s">
        <v>206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4.25" customHeight="1">
      <c r="A8" s="340"/>
      <c r="B8" s="2" t="s">
        <v>212</v>
      </c>
      <c r="C8" s="2" t="s">
        <v>213</v>
      </c>
      <c r="D8" s="2" t="s">
        <v>214</v>
      </c>
      <c r="E8" s="2" t="s">
        <v>215</v>
      </c>
      <c r="F8" s="2" t="s">
        <v>216</v>
      </c>
      <c r="G8" s="2" t="s">
        <v>217</v>
      </c>
      <c r="H8" s="233">
        <v>43983</v>
      </c>
      <c r="I8" s="233">
        <v>44013</v>
      </c>
      <c r="J8" s="233">
        <v>44075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customHeight="1">
      <c r="A9" s="41" t="s">
        <v>5</v>
      </c>
      <c r="B9" s="13">
        <v>2123367278</v>
      </c>
      <c r="C9" s="13">
        <v>1778878270</v>
      </c>
      <c r="D9" s="13">
        <v>974908199</v>
      </c>
      <c r="E9" s="13">
        <v>40000000</v>
      </c>
      <c r="F9" s="13">
        <v>6711224</v>
      </c>
      <c r="G9" s="13">
        <v>34753123</v>
      </c>
      <c r="H9" s="30">
        <v>1193588844</v>
      </c>
      <c r="I9" s="30">
        <v>440000000</v>
      </c>
      <c r="J9" s="30">
        <v>981386293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4.25" customHeight="1">
      <c r="A10" s="11" t="s">
        <v>6</v>
      </c>
      <c r="B10" s="361">
        <f>SUM(B9:G9)</f>
        <v>4958618094</v>
      </c>
      <c r="C10" s="342"/>
      <c r="D10" s="342"/>
      <c r="E10" s="342"/>
      <c r="F10" s="342"/>
      <c r="G10" s="343"/>
      <c r="H10" s="409">
        <f>H9+I9+J9</f>
        <v>2614975137</v>
      </c>
      <c r="I10" s="342"/>
      <c r="J10" s="343"/>
      <c r="K10" s="12"/>
      <c r="L10" s="12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4.25" customHeight="1">
      <c r="A11" s="234" t="s">
        <v>7</v>
      </c>
      <c r="B11" s="361">
        <f>SUM(B9:J9)</f>
        <v>7573593231</v>
      </c>
      <c r="C11" s="342"/>
      <c r="D11" s="342"/>
      <c r="E11" s="342"/>
      <c r="F11" s="342"/>
      <c r="G11" s="342"/>
      <c r="H11" s="342"/>
      <c r="I11" s="342"/>
      <c r="J11" s="343"/>
      <c r="K11" s="235" t="s">
        <v>8</v>
      </c>
      <c r="L11" s="236" t="s">
        <v>9</v>
      </c>
      <c r="M11" s="236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4.25" customHeight="1">
      <c r="A12" s="13" t="s">
        <v>218</v>
      </c>
      <c r="B12" s="13">
        <v>60999640</v>
      </c>
      <c r="C12" s="13">
        <v>40707507</v>
      </c>
      <c r="D12" s="13">
        <v>28521607</v>
      </c>
      <c r="E12" s="13"/>
      <c r="F12" s="13"/>
      <c r="G12" s="13"/>
      <c r="H12" s="10"/>
      <c r="I12" s="10"/>
      <c r="J12" s="10"/>
      <c r="K12" s="14">
        <f t="shared" ref="K12:K27" si="0">B12+C12+D12+E12+F12+G12+H12+I12+J12</f>
        <v>130228754</v>
      </c>
      <c r="L12" s="14">
        <f>K12</f>
        <v>130228754</v>
      </c>
      <c r="M12" s="15">
        <f t="shared" ref="M12:M26" si="1">+L12/$B$11</f>
        <v>1.7195108058741741E-2</v>
      </c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4.25" customHeight="1">
      <c r="A13" s="13" t="s">
        <v>219</v>
      </c>
      <c r="B13" s="13">
        <v>257288814</v>
      </c>
      <c r="C13" s="13"/>
      <c r="D13" s="13">
        <f>307774846+1627036</f>
        <v>309401882</v>
      </c>
      <c r="E13" s="13"/>
      <c r="F13" s="13">
        <v>319200</v>
      </c>
      <c r="G13" s="13"/>
      <c r="H13" s="10"/>
      <c r="I13" s="10"/>
      <c r="J13" s="10"/>
      <c r="K13" s="14">
        <f t="shared" si="0"/>
        <v>567009896</v>
      </c>
      <c r="L13" s="14">
        <f t="shared" ref="L13:L26" si="2">L12+K13</f>
        <v>697238650</v>
      </c>
      <c r="M13" s="15">
        <f t="shared" si="1"/>
        <v>9.2061803259526023E-2</v>
      </c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4.25" customHeight="1">
      <c r="A14" s="13" t="s">
        <v>220</v>
      </c>
      <c r="B14" s="13">
        <v>253697802</v>
      </c>
      <c r="C14" s="13">
        <v>310266390</v>
      </c>
      <c r="D14" s="237"/>
      <c r="E14" s="13">
        <v>29941138</v>
      </c>
      <c r="F14" s="13">
        <v>1069326</v>
      </c>
      <c r="G14" s="13"/>
      <c r="H14" s="10"/>
      <c r="I14" s="10"/>
      <c r="J14" s="10"/>
      <c r="K14" s="14">
        <f t="shared" si="0"/>
        <v>594974656</v>
      </c>
      <c r="L14" s="14">
        <f t="shared" si="2"/>
        <v>1292213306</v>
      </c>
      <c r="M14" s="15">
        <f t="shared" si="1"/>
        <v>0.17062090167593791</v>
      </c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4.25" customHeight="1">
      <c r="A15" s="13" t="s">
        <v>221</v>
      </c>
      <c r="B15" s="13">
        <v>253697802</v>
      </c>
      <c r="C15" s="13">
        <v>311016965</v>
      </c>
      <c r="D15" s="13"/>
      <c r="E15" s="13"/>
      <c r="F15" s="13"/>
      <c r="G15" s="13"/>
      <c r="H15" s="10"/>
      <c r="I15" s="10"/>
      <c r="J15" s="10"/>
      <c r="K15" s="14">
        <f t="shared" si="0"/>
        <v>564714767</v>
      </c>
      <c r="L15" s="14">
        <f t="shared" si="2"/>
        <v>1856928073</v>
      </c>
      <c r="M15" s="15">
        <f t="shared" si="1"/>
        <v>0.24518455327113145</v>
      </c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4.25" customHeight="1">
      <c r="A16" s="13" t="s">
        <v>222</v>
      </c>
      <c r="B16" s="13">
        <f>253697802+774062</f>
        <v>254471864</v>
      </c>
      <c r="C16" s="13">
        <v>305295260</v>
      </c>
      <c r="D16" s="13">
        <v>478800</v>
      </c>
      <c r="E16" s="13">
        <v>10058862</v>
      </c>
      <c r="F16" s="13">
        <v>2864795</v>
      </c>
      <c r="G16" s="13">
        <f>8019953+4277308</f>
        <v>12297261</v>
      </c>
      <c r="H16" s="10"/>
      <c r="I16" s="10"/>
      <c r="J16" s="10"/>
      <c r="K16" s="14">
        <f t="shared" si="0"/>
        <v>585466842</v>
      </c>
      <c r="L16" s="14">
        <f t="shared" si="2"/>
        <v>2442394915</v>
      </c>
      <c r="M16" s="15">
        <f t="shared" si="1"/>
        <v>0.32248826158274041</v>
      </c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 customHeight="1">
      <c r="A17" s="13" t="s">
        <v>223</v>
      </c>
      <c r="B17" s="13">
        <v>262352139</v>
      </c>
      <c r="C17" s="13">
        <f>320393490-F17</f>
        <v>317935587</v>
      </c>
      <c r="D17" s="13"/>
      <c r="E17" s="13"/>
      <c r="F17" s="13">
        <v>2457903</v>
      </c>
      <c r="G17" s="13">
        <v>8019953</v>
      </c>
      <c r="H17" s="10"/>
      <c r="I17" s="10"/>
      <c r="J17" s="10"/>
      <c r="K17" s="14">
        <f t="shared" si="0"/>
        <v>590765582</v>
      </c>
      <c r="L17" s="14">
        <f t="shared" si="2"/>
        <v>3033160497</v>
      </c>
      <c r="M17" s="15">
        <f t="shared" si="1"/>
        <v>0.40049160345511564</v>
      </c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 customHeight="1">
      <c r="A18" s="13" t="s">
        <v>224</v>
      </c>
      <c r="B18" s="13">
        <v>233424553</v>
      </c>
      <c r="C18" s="13">
        <v>318593989</v>
      </c>
      <c r="D18" s="13">
        <v>2884759</v>
      </c>
      <c r="E18" s="13"/>
      <c r="F18" s="13"/>
      <c r="G18" s="13">
        <v>8019953</v>
      </c>
      <c r="H18" s="10"/>
      <c r="I18" s="10"/>
      <c r="J18" s="10"/>
      <c r="K18" s="14">
        <f t="shared" si="0"/>
        <v>562923254</v>
      </c>
      <c r="L18" s="14">
        <f t="shared" si="2"/>
        <v>3596083751</v>
      </c>
      <c r="M18" s="15">
        <f t="shared" si="1"/>
        <v>0.47481870775428237</v>
      </c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 customHeight="1">
      <c r="A19" s="13" t="s">
        <v>225</v>
      </c>
      <c r="B19" s="13">
        <v>214196652</v>
      </c>
      <c r="C19" s="13">
        <v>175062572</v>
      </c>
      <c r="D19" s="13">
        <f>311948411-C19-G19</f>
        <v>130469883</v>
      </c>
      <c r="E19" s="13"/>
      <c r="F19" s="13"/>
      <c r="G19" s="13">
        <v>6415956</v>
      </c>
      <c r="H19" s="10"/>
      <c r="I19" s="10"/>
      <c r="J19" s="10"/>
      <c r="K19" s="14">
        <f t="shared" si="0"/>
        <v>526145063</v>
      </c>
      <c r="L19" s="14">
        <f t="shared" si="2"/>
        <v>4122228814</v>
      </c>
      <c r="M19" s="15">
        <f t="shared" si="1"/>
        <v>0.54428970348275629</v>
      </c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 customHeight="1">
      <c r="A20" s="13" t="s">
        <v>226</v>
      </c>
      <c r="B20" s="13">
        <v>224510801</v>
      </c>
      <c r="C20" s="13"/>
      <c r="D20" s="13">
        <v>325770589</v>
      </c>
      <c r="E20" s="13"/>
      <c r="F20" s="13"/>
      <c r="G20" s="13"/>
      <c r="H20" s="10"/>
      <c r="I20" s="10"/>
      <c r="J20" s="10"/>
      <c r="K20" s="14">
        <f t="shared" si="0"/>
        <v>550281390</v>
      </c>
      <c r="L20" s="14">
        <f t="shared" si="2"/>
        <v>4672510204</v>
      </c>
      <c r="M20" s="15">
        <f t="shared" si="1"/>
        <v>0.61694760485348277</v>
      </c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 customHeight="1">
      <c r="A21" s="13" t="s">
        <v>227</v>
      </c>
      <c r="B21" s="13">
        <v>108727211</v>
      </c>
      <c r="C21" s="13"/>
      <c r="D21" s="13">
        <v>177380679</v>
      </c>
      <c r="E21" s="13"/>
      <c r="F21" s="13"/>
      <c r="G21" s="13"/>
      <c r="H21" s="10">
        <v>115783590</v>
      </c>
      <c r="I21" s="10">
        <v>147589483</v>
      </c>
      <c r="J21" s="10"/>
      <c r="K21" s="14">
        <f t="shared" si="0"/>
        <v>549480963</v>
      </c>
      <c r="L21" s="14">
        <f t="shared" si="2"/>
        <v>5221991167</v>
      </c>
      <c r="M21" s="15">
        <f t="shared" si="1"/>
        <v>0.68949981966624585</v>
      </c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 customHeight="1">
      <c r="A22" s="13" t="s">
        <v>228</v>
      </c>
      <c r="B22" s="13"/>
      <c r="C22" s="13"/>
      <c r="D22" s="13"/>
      <c r="E22" s="13"/>
      <c r="F22" s="13"/>
      <c r="G22" s="13"/>
      <c r="H22" s="10">
        <v>235930226</v>
      </c>
      <c r="I22" s="10">
        <v>292410517</v>
      </c>
      <c r="J22" s="10">
        <f>300555141-I22</f>
        <v>8144624</v>
      </c>
      <c r="K22" s="14">
        <f t="shared" si="0"/>
        <v>536485367</v>
      </c>
      <c r="L22" s="14">
        <f t="shared" si="2"/>
        <v>5758476534</v>
      </c>
      <c r="M22" s="15">
        <f t="shared" si="1"/>
        <v>0.76033612558297692</v>
      </c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4.25" customHeight="1">
      <c r="A23" s="13" t="s">
        <v>229</v>
      </c>
      <c r="B23" s="13"/>
      <c r="C23" s="13"/>
      <c r="D23" s="13"/>
      <c r="E23" s="13"/>
      <c r="F23" s="13"/>
      <c r="G23" s="13"/>
      <c r="H23" s="10">
        <v>210709968</v>
      </c>
      <c r="I23" s="10"/>
      <c r="J23" s="10">
        <v>262600344</v>
      </c>
      <c r="K23" s="14">
        <f t="shared" si="0"/>
        <v>473310312</v>
      </c>
      <c r="L23" s="14">
        <f t="shared" si="2"/>
        <v>6231786846</v>
      </c>
      <c r="M23" s="15">
        <f t="shared" si="1"/>
        <v>0.82283094113006239</v>
      </c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4.25" customHeight="1">
      <c r="A24" s="238" t="s">
        <v>230</v>
      </c>
      <c r="B24" s="13"/>
      <c r="C24" s="13"/>
      <c r="D24" s="13"/>
      <c r="E24" s="13"/>
      <c r="F24" s="13"/>
      <c r="G24" s="13"/>
      <c r="H24" s="10">
        <v>207731747</v>
      </c>
      <c r="I24" s="10"/>
      <c r="J24" s="10">
        <v>262600344</v>
      </c>
      <c r="K24" s="14">
        <f t="shared" si="0"/>
        <v>470332091</v>
      </c>
      <c r="L24" s="14">
        <f t="shared" si="2"/>
        <v>6702118937</v>
      </c>
      <c r="M24" s="15">
        <f t="shared" si="1"/>
        <v>0.88493251915974203</v>
      </c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 customHeight="1">
      <c r="A25" s="238" t="s">
        <v>231</v>
      </c>
      <c r="B25" s="13"/>
      <c r="C25" s="13"/>
      <c r="D25" s="13"/>
      <c r="E25" s="13"/>
      <c r="F25" s="13"/>
      <c r="G25" s="13"/>
      <c r="H25" s="10">
        <v>207731747</v>
      </c>
      <c r="I25" s="10"/>
      <c r="J25" s="10">
        <v>262600344</v>
      </c>
      <c r="K25" s="14">
        <f t="shared" si="0"/>
        <v>470332091</v>
      </c>
      <c r="L25" s="14">
        <f t="shared" si="2"/>
        <v>7172451028</v>
      </c>
      <c r="M25" s="15">
        <f t="shared" si="1"/>
        <v>0.94703409718942166</v>
      </c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4.25" customHeight="1">
      <c r="A26" s="238" t="s">
        <v>232</v>
      </c>
      <c r="B26" s="13"/>
      <c r="C26" s="13"/>
      <c r="D26" s="13"/>
      <c r="E26" s="13"/>
      <c r="F26" s="13"/>
      <c r="G26" s="13"/>
      <c r="H26" s="10">
        <v>177309941</v>
      </c>
      <c r="I26" s="10"/>
      <c r="J26" s="10">
        <v>185440637</v>
      </c>
      <c r="K26" s="14">
        <f t="shared" si="0"/>
        <v>362750578</v>
      </c>
      <c r="L26" s="14">
        <f t="shared" si="2"/>
        <v>7535201606</v>
      </c>
      <c r="M26" s="15">
        <f t="shared" si="1"/>
        <v>0.99493085727883346</v>
      </c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 customHeight="1">
      <c r="A27" s="18" t="s">
        <v>11</v>
      </c>
      <c r="B27" s="18">
        <f t="shared" ref="B27:J27" si="3">SUM(B12:B26)</f>
        <v>2123367278</v>
      </c>
      <c r="C27" s="18">
        <f t="shared" si="3"/>
        <v>1778878270</v>
      </c>
      <c r="D27" s="18">
        <f t="shared" si="3"/>
        <v>974908199</v>
      </c>
      <c r="E27" s="18">
        <f t="shared" si="3"/>
        <v>40000000</v>
      </c>
      <c r="F27" s="18">
        <f t="shared" si="3"/>
        <v>6711224</v>
      </c>
      <c r="G27" s="18">
        <f t="shared" si="3"/>
        <v>34753123</v>
      </c>
      <c r="H27" s="29">
        <f t="shared" si="3"/>
        <v>1155197219</v>
      </c>
      <c r="I27" s="29">
        <f t="shared" si="3"/>
        <v>440000000</v>
      </c>
      <c r="J27" s="29">
        <f t="shared" si="3"/>
        <v>981386293</v>
      </c>
      <c r="K27" s="14">
        <f t="shared" si="0"/>
        <v>7535201606</v>
      </c>
      <c r="L27" s="12"/>
      <c r="M27" s="12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4.25" customHeight="1">
      <c r="A28" s="11" t="s">
        <v>12</v>
      </c>
      <c r="B28" s="11">
        <f t="shared" ref="B28:J28" si="4">B9-B27</f>
        <v>0</v>
      </c>
      <c r="C28" s="11">
        <f t="shared" si="4"/>
        <v>0</v>
      </c>
      <c r="D28" s="11">
        <f t="shared" si="4"/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29">
        <f t="shared" si="4"/>
        <v>38391625</v>
      </c>
      <c r="I28" s="29">
        <f t="shared" si="4"/>
        <v>0</v>
      </c>
      <c r="J28" s="29">
        <f t="shared" si="4"/>
        <v>0</v>
      </c>
      <c r="K28" s="14">
        <f>B28+C28+D28+E28+F28+G28</f>
        <v>0</v>
      </c>
      <c r="L28" s="12"/>
      <c r="M28" s="12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4.25" customHeight="1">
      <c r="A29" s="18" t="s">
        <v>13</v>
      </c>
      <c r="B29" s="356">
        <f>B28+C28+D28+E28+F28+G28+H28+I28+J28</f>
        <v>38391625</v>
      </c>
      <c r="C29" s="342"/>
      <c r="D29" s="342"/>
      <c r="E29" s="342"/>
      <c r="F29" s="342"/>
      <c r="G29" s="342"/>
      <c r="H29" s="342"/>
      <c r="I29" s="342"/>
      <c r="J29" s="343"/>
      <c r="K29" s="13"/>
      <c r="L29" s="1"/>
      <c r="M29" s="1"/>
      <c r="N29" s="12"/>
      <c r="O29" s="1"/>
      <c r="P29" s="1"/>
      <c r="Q29" s="1"/>
      <c r="R29" s="1"/>
      <c r="S29" s="1"/>
      <c r="T29" s="1"/>
      <c r="U29" s="1"/>
      <c r="V29" s="1"/>
      <c r="W29" s="1"/>
    </row>
    <row r="30" spans="1:23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4.25" customHeight="1">
      <c r="A31" s="48"/>
      <c r="C31" s="1"/>
      <c r="D31" s="1"/>
      <c r="E31" s="1">
        <f>H10/B10</f>
        <v>0.52735965695042297</v>
      </c>
      <c r="F31" s="1"/>
      <c r="G31" s="1"/>
      <c r="H31" s="1"/>
      <c r="I31" s="1"/>
      <c r="J31" s="1"/>
      <c r="K31" s="1">
        <f>B10</f>
        <v>4958618094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4.25" customHeight="1">
      <c r="A32" s="48"/>
      <c r="B32" s="37">
        <v>2019</v>
      </c>
      <c r="C32" s="1">
        <v>2020</v>
      </c>
      <c r="D32" s="1"/>
      <c r="E32" s="1"/>
      <c r="F32" s="1"/>
      <c r="G32" s="1"/>
      <c r="H32" s="1"/>
      <c r="I32" s="1"/>
      <c r="J32" s="1"/>
      <c r="K32" s="1">
        <f>H10</f>
        <v>2614975137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 customHeight="1">
      <c r="A33" s="48"/>
      <c r="B33" s="188"/>
      <c r="C33" s="188"/>
      <c r="D33" s="1"/>
      <c r="E33" s="1"/>
      <c r="F33" s="1"/>
      <c r="G33" s="1"/>
      <c r="H33" s="1"/>
      <c r="I33" s="1"/>
      <c r="J33" s="1"/>
      <c r="K33" s="1">
        <f>K31+K32</f>
        <v>7573593231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4.25" customHeight="1">
      <c r="A34" s="1"/>
      <c r="B34" s="188">
        <v>567009896</v>
      </c>
      <c r="C34" s="48">
        <v>473310312</v>
      </c>
      <c r="D34" s="48"/>
      <c r="E34" s="1"/>
      <c r="F34" s="1">
        <v>550281390</v>
      </c>
      <c r="G34" s="1" t="s">
        <v>233</v>
      </c>
      <c r="H34" s="1"/>
      <c r="I34" s="1"/>
      <c r="J34" s="1"/>
      <c r="K34" s="1">
        <f>-B29</f>
        <v>-38391625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.25" customHeight="1">
      <c r="A35" s="1"/>
      <c r="B35" s="188">
        <v>594974656</v>
      </c>
      <c r="C35" s="188">
        <v>470332091</v>
      </c>
      <c r="D35" s="1"/>
      <c r="E35" s="1"/>
      <c r="F35" s="1">
        <v>549480963</v>
      </c>
      <c r="G35" s="1" t="s">
        <v>34</v>
      </c>
      <c r="H35" s="1"/>
      <c r="I35" s="1"/>
      <c r="J35" s="1"/>
      <c r="K35" s="1">
        <f>K33-K34</f>
        <v>7611984856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4.25" customHeight="1">
      <c r="A36" s="1"/>
      <c r="B36" s="1">
        <v>564714767</v>
      </c>
      <c r="C36" s="1">
        <v>470332091</v>
      </c>
      <c r="D36" s="1"/>
      <c r="E36" s="1"/>
      <c r="F36" s="1">
        <v>536485367</v>
      </c>
      <c r="G36" s="1" t="s">
        <v>35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 customHeight="1">
      <c r="A37" s="1"/>
      <c r="B37" s="1">
        <v>585466842</v>
      </c>
      <c r="C37" s="1">
        <v>470332067</v>
      </c>
      <c r="D37" s="1"/>
      <c r="E37" s="1"/>
      <c r="F37" s="1">
        <v>473310312</v>
      </c>
      <c r="G37" s="1" t="s">
        <v>36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 customHeight="1">
      <c r="A38" s="1"/>
      <c r="B38" s="239">
        <v>590765582</v>
      </c>
      <c r="C38" s="239">
        <v>470332067</v>
      </c>
      <c r="D38" s="1"/>
      <c r="E38" s="1"/>
      <c r="F38" s="1">
        <v>470332091</v>
      </c>
      <c r="G38" s="1" t="s">
        <v>37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4.25" customHeight="1">
      <c r="A39" s="1"/>
      <c r="B39" s="1">
        <v>562923254</v>
      </c>
      <c r="C39" s="1">
        <v>470332067</v>
      </c>
      <c r="D39" s="1"/>
      <c r="E39" s="1"/>
      <c r="F39" s="1">
        <v>470332091</v>
      </c>
      <c r="G39" s="1" t="s">
        <v>38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4.25" customHeight="1">
      <c r="A40" s="48"/>
      <c r="B40" s="1">
        <f t="shared" ref="B40:C40" si="5">B39+B38+B37+B36+B35+B34</f>
        <v>3465854997</v>
      </c>
      <c r="C40" s="1">
        <f t="shared" si="5"/>
        <v>2824970695</v>
      </c>
      <c r="D40" s="1">
        <f>B40-C40</f>
        <v>640884302</v>
      </c>
      <c r="E40" s="1"/>
      <c r="F40" s="1">
        <v>470332067</v>
      </c>
      <c r="G40" s="1" t="s">
        <v>39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4.25" customHeight="1">
      <c r="A41" s="48"/>
      <c r="B41" s="48"/>
      <c r="C41" s="48"/>
      <c r="D41" s="1"/>
      <c r="E41" s="1"/>
      <c r="F41" s="1">
        <v>470332067</v>
      </c>
      <c r="G41" s="1" t="s">
        <v>40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4.25" customHeight="1">
      <c r="A42" s="48"/>
      <c r="B42" s="48"/>
      <c r="C42" s="1"/>
      <c r="D42" s="1"/>
      <c r="E42" s="1"/>
      <c r="F42" s="1">
        <v>470332067</v>
      </c>
      <c r="G42" s="1" t="s">
        <v>41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/>
    <row r="244" spans="1:23" ht="15.75" customHeight="1"/>
    <row r="245" spans="1:23" ht="15.75" customHeight="1"/>
    <row r="246" spans="1:23" ht="15.75" customHeight="1"/>
    <row r="247" spans="1:23" ht="15.75" customHeight="1"/>
    <row r="248" spans="1:23" ht="15.75" customHeight="1"/>
    <row r="249" spans="1:23" ht="15.75" customHeight="1"/>
    <row r="250" spans="1:23" ht="15.75" customHeight="1"/>
    <row r="251" spans="1:23" ht="15.75" customHeight="1"/>
    <row r="252" spans="1:23" ht="15.75" customHeight="1"/>
    <row r="253" spans="1:23" ht="15.75" customHeight="1"/>
    <row r="254" spans="1:23" ht="15.75" customHeight="1"/>
    <row r="255" spans="1:23" ht="15.75" customHeight="1"/>
    <row r="256" spans="1:2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10:G10"/>
    <mergeCell ref="H10:J10"/>
    <mergeCell ref="B11:J11"/>
    <mergeCell ref="B29:J29"/>
    <mergeCell ref="A2:J2"/>
    <mergeCell ref="A3:J3"/>
    <mergeCell ref="B4:C4"/>
    <mergeCell ref="B5:C5"/>
    <mergeCell ref="A6:G6"/>
    <mergeCell ref="H6:J6"/>
    <mergeCell ref="A7:A8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1000"/>
  <sheetViews>
    <sheetView workbookViewId="0"/>
  </sheetViews>
  <sheetFormatPr baseColWidth="10" defaultColWidth="12.58203125" defaultRowHeight="15" customHeight="1"/>
  <cols>
    <col min="1" max="1" width="17.83203125" customWidth="1"/>
    <col min="2" max="2" width="83.5" customWidth="1"/>
    <col min="3" max="3" width="15.5" customWidth="1"/>
    <col min="4" max="4" width="17.5" customWidth="1"/>
    <col min="5" max="5" width="21.75" customWidth="1"/>
    <col min="6" max="6" width="13.33203125" customWidth="1"/>
    <col min="7" max="7" width="16.08203125" customWidth="1"/>
  </cols>
  <sheetData>
    <row r="1" spans="1:26">
      <c r="A1" s="50"/>
      <c r="B1" s="50"/>
      <c r="C1" s="50"/>
      <c r="D1" s="50"/>
      <c r="E1" s="50"/>
      <c r="F1" s="50"/>
      <c r="G1" s="50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>
      <c r="A2" s="50"/>
      <c r="B2" s="344" t="s">
        <v>52</v>
      </c>
      <c r="C2" s="342"/>
      <c r="D2" s="342"/>
      <c r="E2" s="342"/>
      <c r="F2" s="50"/>
      <c r="G2" s="50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>
      <c r="A3" s="50"/>
      <c r="B3" s="344" t="s">
        <v>53</v>
      </c>
      <c r="C3" s="342"/>
      <c r="D3" s="342"/>
      <c r="E3" s="342"/>
      <c r="F3" s="50"/>
      <c r="G3" s="50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>
      <c r="A4" s="50"/>
      <c r="B4" s="40" t="s">
        <v>0</v>
      </c>
      <c r="C4" s="345" t="s">
        <v>1</v>
      </c>
      <c r="D4" s="343"/>
      <c r="E4" s="51" t="s">
        <v>54</v>
      </c>
      <c r="F4" s="52" t="s">
        <v>19</v>
      </c>
      <c r="G4" s="51" t="s">
        <v>20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>
      <c r="A5" s="50"/>
      <c r="B5" s="53">
        <v>44326</v>
      </c>
      <c r="C5" s="346">
        <v>44570</v>
      </c>
      <c r="D5" s="343"/>
      <c r="E5" s="54">
        <v>44629</v>
      </c>
      <c r="F5" s="55">
        <v>44751</v>
      </c>
      <c r="G5" s="54">
        <v>44804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>
      <c r="A6" s="50"/>
      <c r="B6" s="347" t="s">
        <v>21</v>
      </c>
      <c r="C6" s="348"/>
      <c r="D6" s="348"/>
      <c r="E6" s="348"/>
      <c r="F6" s="50"/>
      <c r="G6" s="50" t="s">
        <v>55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>
      <c r="A7" s="50"/>
      <c r="B7" s="351" t="s">
        <v>43</v>
      </c>
      <c r="C7" s="56" t="s">
        <v>50</v>
      </c>
      <c r="D7" s="50"/>
      <c r="E7" s="50"/>
      <c r="F7" s="50"/>
      <c r="G7" s="50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>
      <c r="A8" s="50"/>
      <c r="B8" s="340"/>
      <c r="C8" s="56" t="s">
        <v>56</v>
      </c>
      <c r="D8" s="50"/>
      <c r="E8" s="50"/>
      <c r="F8" s="50"/>
      <c r="G8" s="50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>
      <c r="A9" s="50"/>
      <c r="B9" s="57" t="s">
        <v>5</v>
      </c>
      <c r="C9" s="58">
        <v>18000000</v>
      </c>
      <c r="D9" s="50"/>
      <c r="E9" s="50"/>
      <c r="F9" s="50"/>
      <c r="G9" s="50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>
      <c r="A10" s="50"/>
      <c r="B10" s="59" t="s">
        <v>6</v>
      </c>
      <c r="C10" s="349">
        <f>C9</f>
        <v>18000000</v>
      </c>
      <c r="D10" s="342"/>
      <c r="E10" s="342"/>
      <c r="F10" s="50"/>
      <c r="G10" s="50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>
      <c r="A11" s="50"/>
      <c r="B11" s="350" t="s">
        <v>44</v>
      </c>
      <c r="C11" s="342"/>
      <c r="D11" s="342"/>
      <c r="E11" s="342"/>
      <c r="F11" s="50"/>
      <c r="G11" s="50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>
      <c r="A12" s="50"/>
      <c r="B12" s="351" t="s">
        <v>45</v>
      </c>
      <c r="C12" s="352" t="s">
        <v>57</v>
      </c>
      <c r="D12" s="60" t="s">
        <v>58</v>
      </c>
      <c r="E12" s="60" t="s">
        <v>59</v>
      </c>
      <c r="F12" s="50"/>
      <c r="G12" s="50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>
      <c r="A13" s="50"/>
      <c r="B13" s="339"/>
      <c r="C13" s="339"/>
      <c r="D13" s="61">
        <v>2191</v>
      </c>
      <c r="E13" s="61">
        <v>2192</v>
      </c>
      <c r="F13" s="50"/>
      <c r="G13" s="50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>
      <c r="A14" s="50"/>
      <c r="B14" s="340"/>
      <c r="C14" s="339"/>
      <c r="D14" s="62">
        <v>6600000</v>
      </c>
      <c r="E14" s="62">
        <v>2400000</v>
      </c>
      <c r="F14" s="50"/>
      <c r="G14" s="50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>
      <c r="A15" s="63" t="s">
        <v>60</v>
      </c>
      <c r="B15" s="64" t="s">
        <v>46</v>
      </c>
      <c r="C15" s="332">
        <f>C9+D14+E14</f>
        <v>27000000</v>
      </c>
      <c r="D15" s="333"/>
      <c r="E15" s="334"/>
      <c r="F15" s="65" t="s">
        <v>8</v>
      </c>
      <c r="G15" s="65" t="s">
        <v>48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>
      <c r="A16" s="66">
        <v>20214600072294</v>
      </c>
      <c r="B16" s="67" t="s">
        <v>61</v>
      </c>
      <c r="C16" s="68">
        <v>772032</v>
      </c>
      <c r="D16" s="68">
        <v>0</v>
      </c>
      <c r="E16" s="68">
        <v>0</v>
      </c>
      <c r="F16" s="68">
        <f t="shared" ref="F16:F36" si="0">C16+D16+E16</f>
        <v>772032</v>
      </c>
      <c r="G16" s="69">
        <f>F16/C15</f>
        <v>2.8593777777777777E-2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>
      <c r="A17" s="70">
        <v>20214600113514</v>
      </c>
      <c r="B17" s="57" t="s">
        <v>62</v>
      </c>
      <c r="C17" s="71">
        <v>1580910</v>
      </c>
      <c r="D17" s="68">
        <v>0</v>
      </c>
      <c r="E17" s="68">
        <v>0</v>
      </c>
      <c r="F17" s="68">
        <f t="shared" si="0"/>
        <v>1580910</v>
      </c>
      <c r="G17" s="69">
        <f t="shared" ref="G17:G35" si="1">(F17/C$15)+G16</f>
        <v>8.7146000000000001E-2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>
      <c r="A18" s="70">
        <v>20214600116034</v>
      </c>
      <c r="B18" s="57" t="s">
        <v>63</v>
      </c>
      <c r="C18" s="71">
        <v>1703173</v>
      </c>
      <c r="D18" s="68">
        <v>0</v>
      </c>
      <c r="E18" s="68">
        <v>0</v>
      </c>
      <c r="F18" s="68">
        <f t="shared" si="0"/>
        <v>1703173</v>
      </c>
      <c r="G18" s="69">
        <f t="shared" si="1"/>
        <v>0.15022648148148149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>
      <c r="A19" s="70">
        <v>20214600134364</v>
      </c>
      <c r="B19" s="57" t="s">
        <v>64</v>
      </c>
      <c r="C19" s="71">
        <v>1479930</v>
      </c>
      <c r="D19" s="68">
        <v>0</v>
      </c>
      <c r="E19" s="68">
        <v>0</v>
      </c>
      <c r="F19" s="68">
        <f t="shared" si="0"/>
        <v>1479930</v>
      </c>
      <c r="G19" s="69">
        <f t="shared" si="1"/>
        <v>0.2050387037037037</v>
      </c>
      <c r="H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>
      <c r="A20" s="70">
        <v>20214600159754</v>
      </c>
      <c r="B20" s="57" t="s">
        <v>65</v>
      </c>
      <c r="C20" s="71">
        <v>2678348</v>
      </c>
      <c r="D20" s="68">
        <v>0</v>
      </c>
      <c r="E20" s="68">
        <v>0</v>
      </c>
      <c r="F20" s="68">
        <f t="shared" si="0"/>
        <v>2678348</v>
      </c>
      <c r="G20" s="69">
        <f t="shared" si="1"/>
        <v>0.3042367777777778</v>
      </c>
      <c r="H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>
      <c r="A21" s="70">
        <v>20214600170594</v>
      </c>
      <c r="B21" s="57" t="s">
        <v>66</v>
      </c>
      <c r="C21" s="71">
        <v>1416908</v>
      </c>
      <c r="D21" s="68">
        <v>0</v>
      </c>
      <c r="E21" s="68">
        <v>0</v>
      </c>
      <c r="F21" s="68">
        <f t="shared" si="0"/>
        <v>1416908</v>
      </c>
      <c r="G21" s="69">
        <f t="shared" si="1"/>
        <v>0.35671485185185187</v>
      </c>
      <c r="H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>
      <c r="A22" s="70">
        <v>20214600193194</v>
      </c>
      <c r="B22" s="57" t="s">
        <v>67</v>
      </c>
      <c r="C22" s="71">
        <v>1946116</v>
      </c>
      <c r="D22" s="68">
        <v>0</v>
      </c>
      <c r="E22" s="68">
        <v>0</v>
      </c>
      <c r="F22" s="68">
        <f t="shared" si="0"/>
        <v>1946116</v>
      </c>
      <c r="G22" s="69">
        <f t="shared" si="1"/>
        <v>0.42879322222222227</v>
      </c>
      <c r="H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>
      <c r="A23" s="70">
        <v>20224600011814</v>
      </c>
      <c r="B23" s="57" t="s">
        <v>68</v>
      </c>
      <c r="C23" s="71">
        <v>1590939</v>
      </c>
      <c r="D23" s="68">
        <v>0</v>
      </c>
      <c r="E23" s="68">
        <v>0</v>
      </c>
      <c r="F23" s="68">
        <f t="shared" si="0"/>
        <v>1590939</v>
      </c>
      <c r="G23" s="69">
        <f t="shared" si="1"/>
        <v>0.48771688888888892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>
      <c r="A24" s="70">
        <v>20224600005224</v>
      </c>
      <c r="B24" s="57" t="s">
        <v>69</v>
      </c>
      <c r="C24" s="71">
        <v>844373</v>
      </c>
      <c r="D24" s="68">
        <v>0</v>
      </c>
      <c r="E24" s="68">
        <v>0</v>
      </c>
      <c r="F24" s="68">
        <f t="shared" si="0"/>
        <v>844373</v>
      </c>
      <c r="G24" s="69">
        <f t="shared" si="1"/>
        <v>0.51898996296296296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>
      <c r="A25" s="70">
        <v>20224600033754</v>
      </c>
      <c r="B25" s="57" t="s">
        <v>70</v>
      </c>
      <c r="C25" s="71">
        <v>1410730</v>
      </c>
      <c r="D25" s="68">
        <v>0</v>
      </c>
      <c r="E25" s="68">
        <v>0</v>
      </c>
      <c r="F25" s="68">
        <f t="shared" si="0"/>
        <v>1410730</v>
      </c>
      <c r="G25" s="69">
        <f t="shared" si="1"/>
        <v>0.57123922222222223</v>
      </c>
      <c r="H25" s="330"/>
      <c r="I25" s="331"/>
      <c r="J25" s="3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>
      <c r="A26" s="70">
        <v>20224600059884</v>
      </c>
      <c r="B26" s="57" t="s">
        <v>71</v>
      </c>
      <c r="C26" s="71">
        <v>1674160</v>
      </c>
      <c r="D26" s="68">
        <v>0</v>
      </c>
      <c r="E26" s="68">
        <v>0</v>
      </c>
      <c r="F26" s="68">
        <f t="shared" si="0"/>
        <v>1674160</v>
      </c>
      <c r="G26" s="69">
        <f t="shared" si="1"/>
        <v>0.63324514814814814</v>
      </c>
      <c r="H26" s="331"/>
      <c r="I26" s="331"/>
      <c r="J26" s="3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>
      <c r="A27" s="70">
        <v>20224600072044</v>
      </c>
      <c r="B27" s="57" t="s">
        <v>72</v>
      </c>
      <c r="C27" s="71">
        <v>902381</v>
      </c>
      <c r="D27" s="68">
        <v>254020</v>
      </c>
      <c r="E27" s="68">
        <v>254020</v>
      </c>
      <c r="F27" s="68">
        <f t="shared" si="0"/>
        <v>1410421</v>
      </c>
      <c r="G27" s="69">
        <f t="shared" si="1"/>
        <v>0.68548296296296296</v>
      </c>
      <c r="H27" s="24"/>
      <c r="I27" s="24"/>
      <c r="J27" s="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>
      <c r="A28" s="70">
        <v>20224600086754</v>
      </c>
      <c r="B28" s="57" t="s">
        <v>73</v>
      </c>
      <c r="C28" s="335"/>
      <c r="D28" s="68">
        <v>1737333</v>
      </c>
      <c r="E28" s="68">
        <v>494220</v>
      </c>
      <c r="F28" s="68">
        <f t="shared" si="0"/>
        <v>2231553</v>
      </c>
      <c r="G28" s="69">
        <f t="shared" si="1"/>
        <v>0.76813307407407405</v>
      </c>
      <c r="H28" s="24"/>
      <c r="I28" s="24"/>
      <c r="J28" s="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>
      <c r="A29" s="70">
        <v>20224600102004</v>
      </c>
      <c r="B29" s="57" t="s">
        <v>74</v>
      </c>
      <c r="C29" s="336"/>
      <c r="D29" s="72">
        <v>1523842</v>
      </c>
      <c r="E29" s="73">
        <v>468477</v>
      </c>
      <c r="F29" s="68">
        <f t="shared" si="0"/>
        <v>1992319</v>
      </c>
      <c r="G29" s="69">
        <f t="shared" si="1"/>
        <v>0.8419226666666666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>
      <c r="A30" s="70">
        <v>20224600124294</v>
      </c>
      <c r="B30" s="57" t="s">
        <v>75</v>
      </c>
      <c r="C30" s="336"/>
      <c r="D30" s="72">
        <v>910724</v>
      </c>
      <c r="E30" s="73">
        <v>461725</v>
      </c>
      <c r="F30" s="68">
        <f t="shared" si="0"/>
        <v>1372449</v>
      </c>
      <c r="G30" s="69">
        <f t="shared" si="1"/>
        <v>0.89275411111111103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70">
        <v>20224600153454</v>
      </c>
      <c r="B31" s="57" t="s">
        <v>76</v>
      </c>
      <c r="C31" s="336"/>
      <c r="D31" s="72">
        <v>1473663</v>
      </c>
      <c r="E31" s="73">
        <v>721558</v>
      </c>
      <c r="F31" s="68">
        <f t="shared" si="0"/>
        <v>2195221</v>
      </c>
      <c r="G31" s="69">
        <f t="shared" si="1"/>
        <v>0.97405859259259253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70"/>
      <c r="B32" s="338"/>
      <c r="C32" s="336"/>
      <c r="D32" s="72">
        <v>0</v>
      </c>
      <c r="E32" s="73">
        <v>0</v>
      </c>
      <c r="F32" s="68">
        <f t="shared" si="0"/>
        <v>0</v>
      </c>
      <c r="G32" s="69">
        <f t="shared" si="1"/>
        <v>0.97405859259259253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>
      <c r="A33" s="70"/>
      <c r="B33" s="339"/>
      <c r="C33" s="336"/>
      <c r="D33" s="68">
        <v>0</v>
      </c>
      <c r="E33" s="68">
        <v>0</v>
      </c>
      <c r="F33" s="68">
        <f t="shared" si="0"/>
        <v>0</v>
      </c>
      <c r="G33" s="69">
        <f t="shared" si="1"/>
        <v>0.97405859259259253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>
      <c r="A34" s="70"/>
      <c r="B34" s="339"/>
      <c r="C34" s="336"/>
      <c r="D34" s="68">
        <v>0</v>
      </c>
      <c r="E34" s="68">
        <v>0</v>
      </c>
      <c r="F34" s="68">
        <f t="shared" si="0"/>
        <v>0</v>
      </c>
      <c r="G34" s="69">
        <f t="shared" si="1"/>
        <v>0.97405859259259253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>
      <c r="A35" s="70"/>
      <c r="B35" s="340"/>
      <c r="C35" s="337"/>
      <c r="D35" s="68">
        <v>0</v>
      </c>
      <c r="E35" s="68">
        <v>0</v>
      </c>
      <c r="F35" s="68">
        <f t="shared" si="0"/>
        <v>0</v>
      </c>
      <c r="G35" s="69">
        <f t="shared" si="1"/>
        <v>0.97405859259259253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70"/>
      <c r="B36" s="74" t="s">
        <v>11</v>
      </c>
      <c r="C36" s="75">
        <f>SUM(C16:C27)</f>
        <v>18000000</v>
      </c>
      <c r="D36" s="75">
        <f t="shared" ref="D36:E36" si="2">SUM(D16:D35)</f>
        <v>5899582</v>
      </c>
      <c r="E36" s="75">
        <f t="shared" si="2"/>
        <v>2400000</v>
      </c>
      <c r="F36" s="71">
        <f t="shared" si="0"/>
        <v>26299582</v>
      </c>
      <c r="G36" s="76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50"/>
      <c r="B37" s="77" t="s">
        <v>12</v>
      </c>
      <c r="C37" s="78">
        <f>C9-C36</f>
        <v>0</v>
      </c>
      <c r="D37" s="78">
        <f t="shared" ref="D37:E37" si="3">D14-D36</f>
        <v>700418</v>
      </c>
      <c r="E37" s="78">
        <f t="shared" si="3"/>
        <v>0</v>
      </c>
      <c r="F37" s="50"/>
      <c r="G37" s="50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50"/>
      <c r="B38" s="79" t="s">
        <v>13</v>
      </c>
      <c r="C38" s="341">
        <f>+C37+D37+E37</f>
        <v>700418</v>
      </c>
      <c r="D38" s="342"/>
      <c r="E38" s="343"/>
      <c r="F38" s="50"/>
      <c r="G38" s="50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>
      <c r="A40" s="32"/>
      <c r="B40" s="32"/>
      <c r="C40" s="32"/>
      <c r="D40" s="49"/>
      <c r="E40" s="49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>
      <c r="A41" s="32"/>
      <c r="B41" s="80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>
      <c r="A42" s="32"/>
      <c r="B42" s="80"/>
      <c r="C42" s="32"/>
      <c r="D42" s="72">
        <v>1473663</v>
      </c>
      <c r="E42" s="73">
        <v>721558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>
      <c r="A44" s="32"/>
      <c r="B44" s="32"/>
      <c r="C44" s="32"/>
      <c r="D44" s="49"/>
      <c r="E44" s="49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49"/>
      <c r="E45" s="49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15">
    <mergeCell ref="C10:E10"/>
    <mergeCell ref="B11:E11"/>
    <mergeCell ref="B7:B8"/>
    <mergeCell ref="B12:B14"/>
    <mergeCell ref="C12:C14"/>
    <mergeCell ref="B2:E2"/>
    <mergeCell ref="B3:E3"/>
    <mergeCell ref="C4:D4"/>
    <mergeCell ref="C5:D5"/>
    <mergeCell ref="B6:E6"/>
    <mergeCell ref="H25:J26"/>
    <mergeCell ref="C15:E15"/>
    <mergeCell ref="C28:C35"/>
    <mergeCell ref="B32:B35"/>
    <mergeCell ref="C38:E38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Y994"/>
  <sheetViews>
    <sheetView workbookViewId="0"/>
  </sheetViews>
  <sheetFormatPr baseColWidth="10" defaultColWidth="12.58203125" defaultRowHeight="15" customHeight="1"/>
  <cols>
    <col min="1" max="1" width="34.08203125" customWidth="1"/>
    <col min="2" max="2" width="18.08203125" customWidth="1"/>
    <col min="3" max="3" width="16.25" customWidth="1"/>
    <col min="4" max="4" width="13.75" customWidth="1"/>
    <col min="5" max="5" width="13.58203125" customWidth="1"/>
    <col min="6" max="6" width="15.25" customWidth="1"/>
    <col min="7" max="7" width="15.5" customWidth="1"/>
    <col min="8" max="8" width="13.33203125" customWidth="1"/>
    <col min="9" max="9" width="16.58203125" customWidth="1"/>
    <col min="10" max="10" width="17.58203125" customWidth="1"/>
    <col min="11" max="11" width="12.5" customWidth="1"/>
    <col min="12" max="12" width="9.83203125" customWidth="1"/>
    <col min="13" max="13" width="8.58203125" customWidth="1"/>
    <col min="14" max="14" width="11.75" customWidth="1"/>
    <col min="15" max="22" width="8.58203125" customWidth="1"/>
  </cols>
  <sheetData>
    <row r="1" spans="1:25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37"/>
    </row>
    <row r="2" spans="1:25" ht="14.25" customHeight="1">
      <c r="A2" s="357" t="s">
        <v>42</v>
      </c>
      <c r="B2" s="342"/>
      <c r="C2" s="342"/>
      <c r="D2" s="342"/>
      <c r="E2" s="342"/>
      <c r="F2" s="3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37"/>
    </row>
    <row r="3" spans="1:25" ht="16.5" customHeight="1">
      <c r="A3" s="357" t="s">
        <v>77</v>
      </c>
      <c r="B3" s="342"/>
      <c r="C3" s="342"/>
      <c r="D3" s="342"/>
      <c r="E3" s="342"/>
      <c r="F3" s="3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37"/>
    </row>
    <row r="4" spans="1:25" ht="16.5" customHeight="1">
      <c r="A4" s="2" t="s">
        <v>0</v>
      </c>
      <c r="B4" s="358" t="s">
        <v>1</v>
      </c>
      <c r="C4" s="343"/>
      <c r="D4" s="2" t="s">
        <v>54</v>
      </c>
      <c r="E4" s="2" t="s">
        <v>19</v>
      </c>
      <c r="F4" s="38" t="s">
        <v>20</v>
      </c>
      <c r="G4" s="38" t="s">
        <v>78</v>
      </c>
      <c r="H4" s="38" t="s">
        <v>79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37"/>
    </row>
    <row r="5" spans="1:25" ht="16.5" customHeight="1">
      <c r="A5" s="6">
        <v>43740</v>
      </c>
      <c r="B5" s="359">
        <v>44105</v>
      </c>
      <c r="C5" s="343"/>
      <c r="D5" s="4">
        <v>44166</v>
      </c>
      <c r="E5" s="4">
        <v>44256</v>
      </c>
      <c r="F5" s="6">
        <v>44317</v>
      </c>
      <c r="G5" s="6">
        <v>44440</v>
      </c>
      <c r="H5" s="6">
        <v>44530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Y5" s="37"/>
    </row>
    <row r="6" spans="1:25" ht="16.5" customHeight="1">
      <c r="A6" s="358" t="s">
        <v>21</v>
      </c>
      <c r="B6" s="342"/>
      <c r="C6" s="342"/>
      <c r="D6" s="342"/>
      <c r="E6" s="342"/>
      <c r="F6" s="34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Y6" s="37"/>
    </row>
    <row r="7" spans="1:25" ht="16.5" customHeight="1">
      <c r="A7" s="360" t="s">
        <v>43</v>
      </c>
      <c r="B7" s="2" t="s">
        <v>80</v>
      </c>
      <c r="C7" s="39" t="s">
        <v>81</v>
      </c>
      <c r="D7" s="2" t="s">
        <v>82</v>
      </c>
      <c r="E7" s="2" t="s">
        <v>82</v>
      </c>
      <c r="F7" s="2" t="s">
        <v>83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Y7" s="37"/>
    </row>
    <row r="8" spans="1:25" ht="14.25" customHeight="1">
      <c r="A8" s="340"/>
      <c r="B8" s="40">
        <v>3997</v>
      </c>
      <c r="C8" s="40">
        <v>3998</v>
      </c>
      <c r="D8" s="40">
        <v>3999</v>
      </c>
      <c r="E8" s="40">
        <v>4000</v>
      </c>
      <c r="F8" s="40">
        <v>4001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Y8" s="37"/>
    </row>
    <row r="9" spans="1:25" ht="14.25" customHeight="1">
      <c r="A9" s="41" t="s">
        <v>5</v>
      </c>
      <c r="B9" s="13">
        <v>90000000</v>
      </c>
      <c r="C9" s="13">
        <v>70613000</v>
      </c>
      <c r="D9" s="13">
        <v>2000000</v>
      </c>
      <c r="E9" s="13">
        <v>3000000</v>
      </c>
      <c r="F9" s="13">
        <v>25000000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Y9" s="37"/>
    </row>
    <row r="10" spans="1:25" ht="14.25" customHeight="1">
      <c r="A10" s="11" t="s">
        <v>6</v>
      </c>
      <c r="B10" s="361">
        <f>B9+C9+D9+E9+F9</f>
        <v>190613000</v>
      </c>
      <c r="C10" s="342"/>
      <c r="D10" s="342"/>
      <c r="E10" s="342"/>
      <c r="F10" s="34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5" ht="14.25" customHeight="1">
      <c r="A11" s="362" t="s">
        <v>44</v>
      </c>
      <c r="B11" s="342"/>
      <c r="C11" s="342"/>
      <c r="D11" s="342"/>
      <c r="E11" s="342"/>
      <c r="F11" s="34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5" ht="14.25" customHeight="1">
      <c r="A12" s="42" t="s">
        <v>45</v>
      </c>
      <c r="B12" s="2" t="s">
        <v>80</v>
      </c>
      <c r="C12" s="43" t="s">
        <v>84</v>
      </c>
      <c r="D12" s="2"/>
      <c r="E12" s="2"/>
      <c r="F12" s="2"/>
      <c r="G12" s="1"/>
      <c r="H12" s="81">
        <v>40000000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5" ht="14.25" customHeight="1">
      <c r="A13" s="82"/>
      <c r="B13" s="83"/>
      <c r="C13" s="84">
        <v>40000000</v>
      </c>
      <c r="D13" s="84"/>
      <c r="E13" s="84"/>
      <c r="F13" s="8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5" ht="14.25" customHeight="1">
      <c r="A14" s="11" t="s">
        <v>46</v>
      </c>
      <c r="B14" s="361">
        <f>B10+B13+C13</f>
        <v>230613000</v>
      </c>
      <c r="C14" s="342"/>
      <c r="D14" s="342"/>
      <c r="E14" s="342"/>
      <c r="F14" s="343"/>
      <c r="G14" s="44" t="s">
        <v>47</v>
      </c>
      <c r="H14" s="44" t="s">
        <v>48</v>
      </c>
      <c r="I14" s="1" t="s">
        <v>85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5" ht="14.25" customHeight="1">
      <c r="A15" s="13" t="s">
        <v>86</v>
      </c>
      <c r="B15" s="13">
        <f>44126790-5000000</f>
        <v>39126790</v>
      </c>
      <c r="C15" s="13"/>
      <c r="D15" s="13">
        <v>2000000</v>
      </c>
      <c r="E15" s="13">
        <v>3000000</v>
      </c>
      <c r="F15" s="13">
        <v>12950371</v>
      </c>
      <c r="G15" s="13">
        <f t="shared" ref="G15:G27" si="0">B15+C15+D15+E15+F15</f>
        <v>57077161</v>
      </c>
      <c r="H15" s="15">
        <f>G15/B14</f>
        <v>0.24750192313529593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5" ht="14.25" customHeight="1">
      <c r="A16" s="13" t="s">
        <v>87</v>
      </c>
      <c r="B16" s="13">
        <v>22402016</v>
      </c>
      <c r="C16" s="13"/>
      <c r="D16" s="363"/>
      <c r="E16" s="363"/>
      <c r="F16" s="13"/>
      <c r="G16" s="13">
        <f t="shared" si="0"/>
        <v>22402016</v>
      </c>
      <c r="H16" s="15">
        <f t="shared" ref="H16:H26" si="1">(G16/B$14)+H15</f>
        <v>0.34464309037218199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>
      <c r="A17" s="13" t="s">
        <v>88</v>
      </c>
      <c r="B17" s="13">
        <v>6186713</v>
      </c>
      <c r="C17" s="13"/>
      <c r="D17" s="339"/>
      <c r="E17" s="339"/>
      <c r="F17" s="13"/>
      <c r="G17" s="13">
        <f t="shared" si="0"/>
        <v>6186713</v>
      </c>
      <c r="H17" s="15">
        <f t="shared" si="1"/>
        <v>0.37147034208826046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customHeight="1">
      <c r="A18" s="13" t="s">
        <v>89</v>
      </c>
      <c r="B18" s="13">
        <v>20161348</v>
      </c>
      <c r="C18" s="27"/>
      <c r="D18" s="339"/>
      <c r="E18" s="339"/>
      <c r="F18" s="13"/>
      <c r="G18" s="13">
        <f t="shared" si="0"/>
        <v>20161348</v>
      </c>
      <c r="H18" s="15">
        <f t="shared" si="1"/>
        <v>0.45889537016560217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customHeight="1">
      <c r="A19" s="13" t="s">
        <v>90</v>
      </c>
      <c r="B19" s="13">
        <v>2123133</v>
      </c>
      <c r="C19" s="27">
        <f>59874920-B19</f>
        <v>57751787</v>
      </c>
      <c r="D19" s="339"/>
      <c r="E19" s="339"/>
      <c r="F19" s="25"/>
      <c r="G19" s="13">
        <f t="shared" si="0"/>
        <v>59874920</v>
      </c>
      <c r="H19" s="15">
        <f t="shared" si="1"/>
        <v>0.71852912888692311</v>
      </c>
      <c r="I19" s="1"/>
      <c r="J19" s="1"/>
      <c r="K19" s="48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25" customHeight="1">
      <c r="A20" s="13" t="s">
        <v>91</v>
      </c>
      <c r="B20" s="355"/>
      <c r="C20" s="27">
        <v>12922447</v>
      </c>
      <c r="D20" s="339"/>
      <c r="E20" s="339"/>
      <c r="F20" s="13">
        <v>12049629</v>
      </c>
      <c r="G20" s="13">
        <f t="shared" si="0"/>
        <v>24972076</v>
      </c>
      <c r="H20" s="15">
        <f t="shared" si="1"/>
        <v>0.82681476759766359</v>
      </c>
      <c r="I20" s="353" t="s">
        <v>92</v>
      </c>
      <c r="J20" s="33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>
      <c r="A21" s="13" t="s">
        <v>93</v>
      </c>
      <c r="B21" s="339"/>
      <c r="C21" s="85">
        <v>3122514</v>
      </c>
      <c r="D21" s="339"/>
      <c r="E21" s="339"/>
      <c r="F21" s="355"/>
      <c r="G21" s="13">
        <f t="shared" si="0"/>
        <v>3122514</v>
      </c>
      <c r="H21" s="15">
        <f t="shared" si="1"/>
        <v>0.840354828218704</v>
      </c>
      <c r="I21" s="354"/>
      <c r="J21" s="33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customHeight="1">
      <c r="A22" s="13" t="s">
        <v>94</v>
      </c>
      <c r="B22" s="339"/>
      <c r="C22" s="27">
        <v>5938100</v>
      </c>
      <c r="D22" s="339"/>
      <c r="E22" s="339"/>
      <c r="F22" s="339"/>
      <c r="G22" s="13">
        <f t="shared" si="0"/>
        <v>5938100</v>
      </c>
      <c r="H22" s="15">
        <f t="shared" si="1"/>
        <v>0.8661040270930086</v>
      </c>
      <c r="I22" s="13" t="s">
        <v>95</v>
      </c>
      <c r="J22" s="13">
        <v>41200000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4.25" customHeight="1">
      <c r="A23" s="13" t="s">
        <v>96</v>
      </c>
      <c r="B23" s="339"/>
      <c r="C23" s="27">
        <v>6739351</v>
      </c>
      <c r="D23" s="339"/>
      <c r="E23" s="339"/>
      <c r="F23" s="339"/>
      <c r="G23" s="13">
        <f t="shared" si="0"/>
        <v>6739351</v>
      </c>
      <c r="H23" s="15">
        <f t="shared" si="1"/>
        <v>0.89532766582976675</v>
      </c>
      <c r="I23" s="13" t="s">
        <v>97</v>
      </c>
      <c r="J23" s="13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>
      <c r="A24" s="13" t="s">
        <v>98</v>
      </c>
      <c r="B24" s="339"/>
      <c r="C24" s="27">
        <v>10616926</v>
      </c>
      <c r="D24" s="339"/>
      <c r="E24" s="339"/>
      <c r="F24" s="339"/>
      <c r="G24" s="13">
        <f t="shared" si="0"/>
        <v>10616926</v>
      </c>
      <c r="H24" s="15">
        <f t="shared" si="1"/>
        <v>0.94136551278548908</v>
      </c>
      <c r="I24" s="13" t="s">
        <v>23</v>
      </c>
      <c r="J24" s="13">
        <v>10000000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>
      <c r="A25" s="13" t="s">
        <v>99</v>
      </c>
      <c r="B25" s="339"/>
      <c r="C25" s="27">
        <v>8794786</v>
      </c>
      <c r="D25" s="339"/>
      <c r="E25" s="339"/>
      <c r="F25" s="339"/>
      <c r="G25" s="13">
        <f t="shared" si="0"/>
        <v>8794786</v>
      </c>
      <c r="H25" s="15">
        <f t="shared" si="1"/>
        <v>0.97950207056844152</v>
      </c>
      <c r="I25" s="13" t="s">
        <v>100</v>
      </c>
      <c r="J25" s="13">
        <v>25000000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.25" customHeight="1">
      <c r="A26" s="86" t="s">
        <v>101</v>
      </c>
      <c r="B26" s="340"/>
      <c r="C26" s="87">
        <v>4727089</v>
      </c>
      <c r="D26" s="340"/>
      <c r="E26" s="340"/>
      <c r="F26" s="340"/>
      <c r="G26" s="86">
        <f t="shared" si="0"/>
        <v>4727089</v>
      </c>
      <c r="H26" s="15">
        <f t="shared" si="1"/>
        <v>1</v>
      </c>
      <c r="I26" s="86" t="s">
        <v>8</v>
      </c>
      <c r="J26" s="86">
        <f>SUM(J22:J25)</f>
        <v>76200000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customHeight="1">
      <c r="A27" s="18" t="s">
        <v>11</v>
      </c>
      <c r="B27" s="18">
        <f t="shared" ref="B27:F27" si="2">SUM(B15:B26)</f>
        <v>90000000</v>
      </c>
      <c r="C27" s="18">
        <f t="shared" si="2"/>
        <v>110613000</v>
      </c>
      <c r="D27" s="18">
        <f t="shared" si="2"/>
        <v>2000000</v>
      </c>
      <c r="E27" s="18">
        <f t="shared" si="2"/>
        <v>3000000</v>
      </c>
      <c r="F27" s="18">
        <f t="shared" si="2"/>
        <v>25000000</v>
      </c>
      <c r="G27" s="13">
        <f t="shared" si="0"/>
        <v>230613000</v>
      </c>
      <c r="H27" s="47"/>
      <c r="I27" s="13" t="s">
        <v>102</v>
      </c>
      <c r="J27" s="13">
        <f>J26/10</f>
        <v>7620000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 customHeight="1">
      <c r="A28" s="11" t="s">
        <v>12</v>
      </c>
      <c r="B28" s="11">
        <f t="shared" ref="B28:C28" si="3">(B9+B13)-B27</f>
        <v>0</v>
      </c>
      <c r="C28" s="11">
        <f t="shared" si="3"/>
        <v>0</v>
      </c>
      <c r="D28" s="88">
        <f t="shared" ref="D28:F28" si="4">D9-D27</f>
        <v>0</v>
      </c>
      <c r="E28" s="88">
        <f t="shared" si="4"/>
        <v>0</v>
      </c>
      <c r="F28" s="88">
        <f t="shared" si="4"/>
        <v>0</v>
      </c>
      <c r="G28" s="1"/>
      <c r="H28" s="1"/>
      <c r="I28" s="89" t="s">
        <v>103</v>
      </c>
      <c r="J28" s="89">
        <v>190613000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.25" customHeight="1">
      <c r="A29" s="18" t="s">
        <v>13</v>
      </c>
      <c r="B29" s="356">
        <f>+B28+C28+D28+E28+F28</f>
        <v>0</v>
      </c>
      <c r="C29" s="342"/>
      <c r="D29" s="342"/>
      <c r="E29" s="342"/>
      <c r="F29" s="343"/>
      <c r="G29" s="1"/>
      <c r="H29" s="1"/>
      <c r="I29" s="13"/>
      <c r="J29" s="89" t="s">
        <v>104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.25" customHeight="1">
      <c r="A30" s="1"/>
      <c r="B30" s="1"/>
      <c r="C30" s="1"/>
      <c r="D30" s="1"/>
      <c r="E30" s="1"/>
      <c r="F30" s="1"/>
      <c r="G30" s="1"/>
      <c r="H30" s="1"/>
      <c r="I30" s="13"/>
      <c r="J30" s="89">
        <f>J28-J26</f>
        <v>114413000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4.25" customHeight="1">
      <c r="A34" s="1"/>
      <c r="B34" s="1"/>
      <c r="C34" s="1"/>
      <c r="D34" s="1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4.25" customHeight="1">
      <c r="A35" s="1"/>
      <c r="B35" s="1"/>
      <c r="C35" s="1"/>
      <c r="D35" s="1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4.25" customHeight="1"/>
    <row r="981" spans="1:21" ht="14.25" customHeight="1"/>
    <row r="982" spans="1:21" ht="14.25" customHeight="1"/>
    <row r="983" spans="1:21" ht="14.25" customHeight="1"/>
    <row r="984" spans="1:21" ht="14.25" customHeight="1"/>
    <row r="985" spans="1:21" ht="14.25" customHeight="1"/>
    <row r="986" spans="1:21" ht="14.25" customHeight="1"/>
    <row r="988" spans="1:21" ht="14">
      <c r="A988" s="37"/>
    </row>
    <row r="989" spans="1:21" ht="14">
      <c r="A989" s="37"/>
    </row>
    <row r="990" spans="1:21" ht="14">
      <c r="A990" s="37"/>
    </row>
    <row r="991" spans="1:21" ht="14">
      <c r="A991" s="37"/>
    </row>
    <row r="992" spans="1:21" ht="14">
      <c r="A992" s="37"/>
    </row>
    <row r="993" spans="1:1" ht="14">
      <c r="A993" s="37"/>
    </row>
    <row r="994" spans="1:1" ht="14">
      <c r="A994" s="37"/>
    </row>
  </sheetData>
  <mergeCells count="15">
    <mergeCell ref="I20:J21"/>
    <mergeCell ref="F21:F26"/>
    <mergeCell ref="B29:F29"/>
    <mergeCell ref="A2:F2"/>
    <mergeCell ref="A3:F3"/>
    <mergeCell ref="B4:C4"/>
    <mergeCell ref="B5:C5"/>
    <mergeCell ref="A6:F6"/>
    <mergeCell ref="A7:A8"/>
    <mergeCell ref="B10:F10"/>
    <mergeCell ref="A11:F11"/>
    <mergeCell ref="B14:F14"/>
    <mergeCell ref="D16:D26"/>
    <mergeCell ref="E16:E26"/>
    <mergeCell ref="B20:B26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2:I35"/>
  <sheetViews>
    <sheetView workbookViewId="0"/>
  </sheetViews>
  <sheetFormatPr baseColWidth="10" defaultColWidth="12.58203125" defaultRowHeight="15" customHeight="1"/>
  <cols>
    <col min="1" max="1" width="27.75" customWidth="1"/>
    <col min="2" max="9" width="16.58203125" customWidth="1"/>
  </cols>
  <sheetData>
    <row r="2" spans="1:9" ht="14">
      <c r="A2" s="357" t="s">
        <v>105</v>
      </c>
      <c r="B2" s="342"/>
      <c r="C2" s="342"/>
      <c r="D2" s="342"/>
      <c r="E2" s="342"/>
      <c r="F2" s="342"/>
      <c r="G2" s="342"/>
      <c r="H2" s="342"/>
      <c r="I2" s="343"/>
    </row>
    <row r="3" spans="1:9" ht="14">
      <c r="A3" s="357" t="s">
        <v>106</v>
      </c>
      <c r="B3" s="342"/>
      <c r="C3" s="342"/>
      <c r="D3" s="342"/>
      <c r="E3" s="342"/>
      <c r="F3" s="342"/>
      <c r="G3" s="342"/>
      <c r="H3" s="342"/>
      <c r="I3" s="343"/>
    </row>
    <row r="4" spans="1:9" ht="14">
      <c r="A4" s="2" t="s">
        <v>0</v>
      </c>
      <c r="B4" s="358" t="s">
        <v>1</v>
      </c>
      <c r="C4" s="343"/>
      <c r="D4" s="2" t="s">
        <v>107</v>
      </c>
      <c r="E4" s="2" t="s">
        <v>108</v>
      </c>
      <c r="F4" s="38"/>
      <c r="G4" s="38"/>
      <c r="H4" s="38"/>
      <c r="I4" s="38"/>
    </row>
    <row r="5" spans="1:9" ht="14">
      <c r="A5" s="6">
        <v>43671</v>
      </c>
      <c r="B5" s="359">
        <v>43885</v>
      </c>
      <c r="C5" s="343"/>
      <c r="D5" s="2" t="s">
        <v>109</v>
      </c>
      <c r="E5" s="2" t="s">
        <v>109</v>
      </c>
      <c r="F5" s="38"/>
      <c r="G5" s="38"/>
      <c r="H5" s="38"/>
      <c r="I5" s="38"/>
    </row>
    <row r="6" spans="1:9" ht="14">
      <c r="A6" s="358" t="s">
        <v>21</v>
      </c>
      <c r="B6" s="342"/>
      <c r="C6" s="342"/>
      <c r="D6" s="342"/>
      <c r="E6" s="342"/>
      <c r="F6" s="342"/>
      <c r="G6" s="342"/>
      <c r="H6" s="342"/>
      <c r="I6" s="343"/>
    </row>
    <row r="7" spans="1:9" ht="14">
      <c r="A7" s="360" t="s">
        <v>110</v>
      </c>
      <c r="B7" s="365" t="s">
        <v>111</v>
      </c>
      <c r="C7" s="342"/>
      <c r="D7" s="342"/>
      <c r="E7" s="342"/>
      <c r="F7" s="343"/>
      <c r="G7" s="33" t="s">
        <v>112</v>
      </c>
      <c r="H7" s="33" t="s">
        <v>113</v>
      </c>
      <c r="I7" s="33" t="s">
        <v>114</v>
      </c>
    </row>
    <row r="8" spans="1:9" ht="14">
      <c r="A8" s="339"/>
      <c r="B8" s="90" t="s">
        <v>115</v>
      </c>
      <c r="C8" s="90" t="s">
        <v>116</v>
      </c>
      <c r="D8" s="90" t="s">
        <v>117</v>
      </c>
      <c r="E8" s="90" t="s">
        <v>118</v>
      </c>
      <c r="F8" s="90" t="s">
        <v>119</v>
      </c>
      <c r="G8" s="89"/>
      <c r="H8" s="89"/>
      <c r="I8" s="89"/>
    </row>
    <row r="9" spans="1:9" ht="15" customHeight="1">
      <c r="A9" s="340"/>
      <c r="B9" s="91" t="s">
        <v>120</v>
      </c>
      <c r="C9" s="91" t="s">
        <v>121</v>
      </c>
      <c r="D9" s="91" t="s">
        <v>122</v>
      </c>
      <c r="E9" s="91" t="s">
        <v>123</v>
      </c>
      <c r="F9" s="91" t="s">
        <v>124</v>
      </c>
      <c r="G9" s="89"/>
      <c r="H9" s="89"/>
      <c r="I9" s="89"/>
    </row>
    <row r="10" spans="1:9" ht="15" customHeight="1">
      <c r="A10" s="41" t="s">
        <v>5</v>
      </c>
      <c r="B10" s="92">
        <v>19000000</v>
      </c>
      <c r="C10" s="92">
        <v>3000000</v>
      </c>
      <c r="D10" s="92">
        <v>2000000</v>
      </c>
      <c r="E10" s="92">
        <v>20500000</v>
      </c>
      <c r="F10" s="92">
        <v>1000000</v>
      </c>
      <c r="G10" s="11">
        <f>B10+C10+D10+E10+F10</f>
        <v>45500000</v>
      </c>
      <c r="H10" s="89"/>
      <c r="I10" s="89"/>
    </row>
    <row r="11" spans="1:9" ht="15" customHeight="1">
      <c r="A11" s="11" t="s">
        <v>125</v>
      </c>
      <c r="B11" s="364">
        <f>B10+C10+D10+E10+F10</f>
        <v>45500000</v>
      </c>
      <c r="C11" s="342"/>
      <c r="D11" s="342"/>
      <c r="E11" s="342"/>
      <c r="F11" s="342"/>
      <c r="G11" s="89"/>
      <c r="H11" s="89"/>
      <c r="I11" s="89"/>
    </row>
    <row r="12" spans="1:9" ht="15.5">
      <c r="A12" s="13" t="s">
        <v>126</v>
      </c>
      <c r="B12" s="93">
        <v>7510875</v>
      </c>
      <c r="C12" s="93">
        <v>2435360</v>
      </c>
      <c r="D12" s="93">
        <v>2000000</v>
      </c>
      <c r="E12" s="93">
        <v>5673834</v>
      </c>
      <c r="F12" s="93"/>
      <c r="G12" s="89">
        <f t="shared" ref="G12:G25" si="0">B12+C12+D12+E12+F12</f>
        <v>17620069</v>
      </c>
      <c r="H12" s="94">
        <f>G12</f>
        <v>17620069</v>
      </c>
      <c r="I12" s="94">
        <f t="shared" ref="I12:I23" si="1">H12/$B$11</f>
        <v>0.38725426373626376</v>
      </c>
    </row>
    <row r="13" spans="1:9" ht="15.5">
      <c r="A13" s="13" t="s">
        <v>127</v>
      </c>
      <c r="B13" s="93">
        <v>2526205</v>
      </c>
      <c r="C13" s="93">
        <v>416546</v>
      </c>
      <c r="D13" s="93"/>
      <c r="E13" s="93">
        <v>2844446</v>
      </c>
      <c r="F13" s="93"/>
      <c r="G13" s="89">
        <f t="shared" si="0"/>
        <v>5787197</v>
      </c>
      <c r="H13" s="94">
        <f t="shared" ref="H13:H23" si="2">H12+G13</f>
        <v>23407266</v>
      </c>
      <c r="I13" s="94">
        <f t="shared" si="1"/>
        <v>0.51444540659340654</v>
      </c>
    </row>
    <row r="14" spans="1:9" ht="15.5">
      <c r="A14" s="13" t="s">
        <v>128</v>
      </c>
      <c r="B14" s="93">
        <v>5940124</v>
      </c>
      <c r="C14" s="93"/>
      <c r="D14" s="93"/>
      <c r="E14" s="93">
        <v>1572513</v>
      </c>
      <c r="F14" s="93"/>
      <c r="G14" s="89">
        <f t="shared" si="0"/>
        <v>7512637</v>
      </c>
      <c r="H14" s="94">
        <f t="shared" si="2"/>
        <v>30919903</v>
      </c>
      <c r="I14" s="94">
        <f t="shared" si="1"/>
        <v>0.67955830769230774</v>
      </c>
    </row>
    <row r="15" spans="1:9" ht="15.5">
      <c r="A15" s="13" t="s">
        <v>129</v>
      </c>
      <c r="B15" s="93">
        <v>2583324</v>
      </c>
      <c r="C15" s="93">
        <v>148094</v>
      </c>
      <c r="D15" s="93"/>
      <c r="E15" s="93">
        <v>3987897</v>
      </c>
      <c r="F15" s="93">
        <v>1000000</v>
      </c>
      <c r="G15" s="89">
        <f t="shared" si="0"/>
        <v>7719315</v>
      </c>
      <c r="H15" s="94">
        <f t="shared" si="2"/>
        <v>38639218</v>
      </c>
      <c r="I15" s="94">
        <f t="shared" si="1"/>
        <v>0.84921358241758238</v>
      </c>
    </row>
    <row r="16" spans="1:9" ht="15.5">
      <c r="A16" s="13" t="s">
        <v>130</v>
      </c>
      <c r="B16" s="93"/>
      <c r="C16" s="93"/>
      <c r="D16" s="93"/>
      <c r="E16" s="93"/>
      <c r="F16" s="93"/>
      <c r="G16" s="89">
        <f t="shared" si="0"/>
        <v>0</v>
      </c>
      <c r="H16" s="94">
        <f t="shared" si="2"/>
        <v>38639218</v>
      </c>
      <c r="I16" s="94">
        <f t="shared" si="1"/>
        <v>0.84921358241758238</v>
      </c>
    </row>
    <row r="17" spans="1:9" ht="15.5">
      <c r="A17" s="13" t="s">
        <v>131</v>
      </c>
      <c r="B17" s="93"/>
      <c r="C17" s="93"/>
      <c r="D17" s="93"/>
      <c r="E17" s="93"/>
      <c r="F17" s="93"/>
      <c r="G17" s="89">
        <f t="shared" si="0"/>
        <v>0</v>
      </c>
      <c r="H17" s="94">
        <f t="shared" si="2"/>
        <v>38639218</v>
      </c>
      <c r="I17" s="94">
        <f t="shared" si="1"/>
        <v>0.84921358241758238</v>
      </c>
    </row>
    <row r="18" spans="1:9" ht="15.5">
      <c r="A18" s="13" t="s">
        <v>132</v>
      </c>
      <c r="B18" s="93"/>
      <c r="C18" s="93"/>
      <c r="D18" s="93"/>
      <c r="E18" s="93"/>
      <c r="F18" s="93"/>
      <c r="G18" s="89">
        <f t="shared" si="0"/>
        <v>0</v>
      </c>
      <c r="H18" s="94">
        <f t="shared" si="2"/>
        <v>38639218</v>
      </c>
      <c r="I18" s="94">
        <f t="shared" si="1"/>
        <v>0.84921358241758238</v>
      </c>
    </row>
    <row r="19" spans="1:9" ht="15.5">
      <c r="A19" s="13" t="s">
        <v>29</v>
      </c>
      <c r="B19" s="93"/>
      <c r="C19" s="93"/>
      <c r="D19" s="93"/>
      <c r="E19" s="93"/>
      <c r="F19" s="93"/>
      <c r="G19" s="89">
        <f t="shared" si="0"/>
        <v>0</v>
      </c>
      <c r="H19" s="94">
        <f t="shared" si="2"/>
        <v>38639218</v>
      </c>
      <c r="I19" s="94">
        <f t="shared" si="1"/>
        <v>0.84921358241758238</v>
      </c>
    </row>
    <row r="20" spans="1:9" ht="15.5">
      <c r="A20" s="13" t="s">
        <v>30</v>
      </c>
      <c r="B20" s="93"/>
      <c r="C20" s="93"/>
      <c r="D20" s="93"/>
      <c r="E20" s="93"/>
      <c r="F20" s="93"/>
      <c r="G20" s="89">
        <f t="shared" si="0"/>
        <v>0</v>
      </c>
      <c r="H20" s="94">
        <f t="shared" si="2"/>
        <v>38639218</v>
      </c>
      <c r="I20" s="94">
        <f t="shared" si="1"/>
        <v>0.84921358241758238</v>
      </c>
    </row>
    <row r="21" spans="1:9" ht="15.5">
      <c r="A21" s="13" t="s">
        <v>17</v>
      </c>
      <c r="B21" s="93"/>
      <c r="C21" s="93"/>
      <c r="D21" s="93"/>
      <c r="E21" s="93"/>
      <c r="F21" s="93"/>
      <c r="G21" s="89">
        <f t="shared" si="0"/>
        <v>0</v>
      </c>
      <c r="H21" s="94">
        <f t="shared" si="2"/>
        <v>38639218</v>
      </c>
      <c r="I21" s="94">
        <f t="shared" si="1"/>
        <v>0.84921358241758238</v>
      </c>
    </row>
    <row r="22" spans="1:9" ht="15.5">
      <c r="A22" s="13" t="s">
        <v>31</v>
      </c>
      <c r="B22" s="93"/>
      <c r="C22" s="93"/>
      <c r="D22" s="93"/>
      <c r="E22" s="93"/>
      <c r="F22" s="93"/>
      <c r="G22" s="89">
        <f t="shared" si="0"/>
        <v>0</v>
      </c>
      <c r="H22" s="94">
        <f t="shared" si="2"/>
        <v>38639218</v>
      </c>
      <c r="I22" s="94">
        <f t="shared" si="1"/>
        <v>0.84921358241758238</v>
      </c>
    </row>
    <row r="23" spans="1:9" ht="15.5">
      <c r="A23" s="13" t="s">
        <v>32</v>
      </c>
      <c r="B23" s="92"/>
      <c r="C23" s="92"/>
      <c r="D23" s="92"/>
      <c r="E23" s="92"/>
      <c r="F23" s="92"/>
      <c r="G23" s="89">
        <f t="shared" si="0"/>
        <v>0</v>
      </c>
      <c r="H23" s="94">
        <f t="shared" si="2"/>
        <v>38639218</v>
      </c>
      <c r="I23" s="94">
        <f t="shared" si="1"/>
        <v>0.84921358241758238</v>
      </c>
    </row>
    <row r="24" spans="1:9" ht="15.5">
      <c r="A24" s="11" t="s">
        <v>11</v>
      </c>
      <c r="B24" s="95">
        <f t="shared" ref="B24:F24" si="3">SUM(B12:B23)</f>
        <v>18560528</v>
      </c>
      <c r="C24" s="95">
        <f t="shared" si="3"/>
        <v>3000000</v>
      </c>
      <c r="D24" s="95">
        <f t="shared" si="3"/>
        <v>2000000</v>
      </c>
      <c r="E24" s="95">
        <f t="shared" si="3"/>
        <v>14078690</v>
      </c>
      <c r="F24" s="95">
        <f t="shared" si="3"/>
        <v>1000000</v>
      </c>
      <c r="G24" s="95">
        <f t="shared" si="0"/>
        <v>38639218</v>
      </c>
      <c r="H24" s="94"/>
      <c r="I24" s="94"/>
    </row>
    <row r="25" spans="1:9" ht="15.5">
      <c r="A25" s="11" t="s">
        <v>12</v>
      </c>
      <c r="B25" s="95">
        <f t="shared" ref="B25:F25" si="4">B10-B24</f>
        <v>439472</v>
      </c>
      <c r="C25" s="95">
        <f t="shared" si="4"/>
        <v>0</v>
      </c>
      <c r="D25" s="95">
        <f t="shared" si="4"/>
        <v>0</v>
      </c>
      <c r="E25" s="95">
        <f t="shared" si="4"/>
        <v>6421310</v>
      </c>
      <c r="F25" s="95">
        <f t="shared" si="4"/>
        <v>0</v>
      </c>
      <c r="G25" s="95">
        <f t="shared" si="0"/>
        <v>6860782</v>
      </c>
      <c r="H25" s="94"/>
      <c r="I25" s="94"/>
    </row>
    <row r="26" spans="1:9" ht="14">
      <c r="A26" s="11" t="s">
        <v>13</v>
      </c>
      <c r="B26" s="361">
        <f>B25+C25+D25+E25+F25</f>
        <v>6860782</v>
      </c>
      <c r="C26" s="342"/>
      <c r="D26" s="342"/>
      <c r="E26" s="342"/>
      <c r="F26" s="343"/>
      <c r="G26" s="1"/>
      <c r="H26" s="7"/>
      <c r="I26" s="7"/>
    </row>
    <row r="30" spans="1:9" ht="14">
      <c r="B30" s="19"/>
    </row>
    <row r="32" spans="1:9" ht="14">
      <c r="F32" s="19"/>
    </row>
    <row r="34" spans="3:3" ht="14">
      <c r="C34" s="20"/>
    </row>
    <row r="35" spans="3:3" ht="14">
      <c r="C35" s="20"/>
    </row>
  </sheetData>
  <mergeCells count="9">
    <mergeCell ref="B11:F11"/>
    <mergeCell ref="B26:F26"/>
    <mergeCell ref="A2:I2"/>
    <mergeCell ref="A3:I3"/>
    <mergeCell ref="B4:C4"/>
    <mergeCell ref="B5:C5"/>
    <mergeCell ref="A6:I6"/>
    <mergeCell ref="A7:A9"/>
    <mergeCell ref="B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2:L36"/>
  <sheetViews>
    <sheetView workbookViewId="0"/>
  </sheetViews>
  <sheetFormatPr baseColWidth="10" defaultColWidth="12.58203125" defaultRowHeight="15" customHeight="1"/>
  <cols>
    <col min="1" max="1" width="27.75" customWidth="1"/>
    <col min="2" max="11" width="16.58203125" customWidth="1"/>
  </cols>
  <sheetData>
    <row r="2" spans="1:12" ht="14">
      <c r="A2" s="357" t="s">
        <v>133</v>
      </c>
      <c r="B2" s="342"/>
      <c r="C2" s="342"/>
      <c r="D2" s="342"/>
      <c r="E2" s="342"/>
      <c r="F2" s="342"/>
      <c r="G2" s="342"/>
      <c r="H2" s="342"/>
      <c r="I2" s="342"/>
      <c r="J2" s="342"/>
      <c r="K2" s="343"/>
    </row>
    <row r="3" spans="1:12" ht="14">
      <c r="A3" s="357" t="s">
        <v>106</v>
      </c>
      <c r="B3" s="342"/>
      <c r="C3" s="342"/>
      <c r="D3" s="342"/>
      <c r="E3" s="342"/>
      <c r="F3" s="342"/>
      <c r="G3" s="342"/>
      <c r="H3" s="342"/>
      <c r="I3" s="342"/>
      <c r="J3" s="342"/>
      <c r="K3" s="343"/>
    </row>
    <row r="4" spans="1:12" ht="14">
      <c r="A4" s="2" t="s">
        <v>0</v>
      </c>
      <c r="B4" s="358" t="s">
        <v>1</v>
      </c>
      <c r="C4" s="343"/>
      <c r="D4" s="2" t="s">
        <v>107</v>
      </c>
      <c r="E4" s="2" t="s">
        <v>108</v>
      </c>
      <c r="F4" s="38"/>
      <c r="G4" s="38"/>
      <c r="H4" s="38"/>
      <c r="I4" s="38"/>
      <c r="J4" s="38"/>
      <c r="K4" s="38"/>
    </row>
    <row r="5" spans="1:12" ht="14">
      <c r="A5" s="6">
        <v>43671</v>
      </c>
      <c r="B5" s="359">
        <v>43885</v>
      </c>
      <c r="C5" s="343"/>
      <c r="D5" s="2" t="s">
        <v>109</v>
      </c>
      <c r="E5" s="2" t="s">
        <v>109</v>
      </c>
      <c r="F5" s="38"/>
      <c r="G5" s="38"/>
      <c r="H5" s="38"/>
      <c r="I5" s="38"/>
      <c r="J5" s="38"/>
      <c r="K5" s="38"/>
    </row>
    <row r="6" spans="1:12" ht="14">
      <c r="A6" s="358" t="s">
        <v>21</v>
      </c>
      <c r="B6" s="342"/>
      <c r="C6" s="342"/>
      <c r="D6" s="342"/>
      <c r="E6" s="342"/>
      <c r="F6" s="342"/>
      <c r="G6" s="342"/>
      <c r="H6" s="342"/>
      <c r="I6" s="342"/>
      <c r="J6" s="342"/>
      <c r="K6" s="343"/>
    </row>
    <row r="7" spans="1:12" ht="14">
      <c r="A7" s="360" t="s">
        <v>110</v>
      </c>
      <c r="B7" s="366" t="s">
        <v>134</v>
      </c>
      <c r="C7" s="342"/>
      <c r="D7" s="342"/>
      <c r="E7" s="342"/>
      <c r="F7" s="342"/>
      <c r="G7" s="342"/>
      <c r="H7" s="343"/>
      <c r="I7" s="33" t="s">
        <v>135</v>
      </c>
      <c r="J7" s="33" t="s">
        <v>113</v>
      </c>
      <c r="K7" s="33" t="s">
        <v>114</v>
      </c>
    </row>
    <row r="8" spans="1:12" ht="14">
      <c r="A8" s="339"/>
      <c r="B8" s="96" t="s">
        <v>115</v>
      </c>
      <c r="C8" s="96" t="s">
        <v>136</v>
      </c>
      <c r="D8" s="96" t="s">
        <v>137</v>
      </c>
      <c r="E8" s="96" t="s">
        <v>117</v>
      </c>
      <c r="F8" s="96" t="s">
        <v>118</v>
      </c>
      <c r="G8" s="96" t="s">
        <v>119</v>
      </c>
      <c r="H8" s="96" t="s">
        <v>138</v>
      </c>
      <c r="I8" s="89"/>
      <c r="J8" s="89"/>
      <c r="K8" s="89"/>
    </row>
    <row r="9" spans="1:12" ht="15" customHeight="1">
      <c r="A9" s="340"/>
      <c r="B9" s="97" t="s">
        <v>120</v>
      </c>
      <c r="C9" s="97" t="s">
        <v>121</v>
      </c>
      <c r="D9" s="97" t="s">
        <v>139</v>
      </c>
      <c r="E9" s="97" t="s">
        <v>122</v>
      </c>
      <c r="F9" s="97" t="s">
        <v>123</v>
      </c>
      <c r="G9" s="97" t="s">
        <v>124</v>
      </c>
      <c r="H9" s="97" t="s">
        <v>140</v>
      </c>
      <c r="I9" s="89"/>
      <c r="J9" s="89"/>
      <c r="K9" s="89"/>
    </row>
    <row r="10" spans="1:12" ht="15" customHeight="1">
      <c r="A10" s="41" t="s">
        <v>5</v>
      </c>
      <c r="B10" s="98">
        <v>19000000</v>
      </c>
      <c r="C10" s="98">
        <v>6500000</v>
      </c>
      <c r="D10" s="98">
        <v>1500000</v>
      </c>
      <c r="E10" s="98">
        <v>2500000</v>
      </c>
      <c r="F10" s="98">
        <v>17000000</v>
      </c>
      <c r="G10" s="98">
        <v>3500000</v>
      </c>
      <c r="H10" s="98">
        <v>49000000</v>
      </c>
      <c r="I10" s="11">
        <f>B10+C10+D10+E10+F10+G10+H10</f>
        <v>99000000</v>
      </c>
      <c r="J10" s="89"/>
      <c r="K10" s="89"/>
    </row>
    <row r="11" spans="1:12" ht="15" customHeight="1">
      <c r="A11" s="11" t="s">
        <v>125</v>
      </c>
      <c r="B11" s="364">
        <f>B10+C10+D10+E10+F10+G10+H10</f>
        <v>99000000</v>
      </c>
      <c r="C11" s="342"/>
      <c r="D11" s="342"/>
      <c r="E11" s="342"/>
      <c r="F11" s="342"/>
      <c r="G11" s="342"/>
      <c r="H11" s="343"/>
      <c r="I11" s="89"/>
      <c r="J11" s="89"/>
      <c r="K11" s="89"/>
    </row>
    <row r="12" spans="1:12" ht="15" customHeight="1">
      <c r="A12" s="11" t="s">
        <v>33</v>
      </c>
      <c r="B12" s="364"/>
      <c r="C12" s="342"/>
      <c r="D12" s="342"/>
      <c r="E12" s="342"/>
      <c r="F12" s="342"/>
      <c r="G12" s="342"/>
      <c r="H12" s="343"/>
      <c r="I12" s="89"/>
      <c r="J12" s="94">
        <f t="shared" ref="J12:J13" si="0">I12</f>
        <v>0</v>
      </c>
      <c r="K12" s="89"/>
    </row>
    <row r="13" spans="1:12" ht="15.5">
      <c r="A13" s="13" t="s">
        <v>141</v>
      </c>
      <c r="B13" s="99">
        <v>8868614</v>
      </c>
      <c r="C13" s="99">
        <v>1869724</v>
      </c>
      <c r="D13" s="99">
        <v>1500000</v>
      </c>
      <c r="E13" s="99">
        <v>2500000</v>
      </c>
      <c r="F13" s="99">
        <v>1346220</v>
      </c>
      <c r="G13" s="99">
        <v>71392</v>
      </c>
      <c r="H13" s="99"/>
      <c r="I13" s="89">
        <f t="shared" ref="I13:I25" si="1">B13+C13+D13+E13+F13+G13+H13</f>
        <v>16155950</v>
      </c>
      <c r="J13" s="94">
        <f t="shared" si="0"/>
        <v>16155950</v>
      </c>
      <c r="K13" s="94">
        <f t="shared" ref="K13:K24" si="2">J13/$B$11</f>
        <v>0.16319141414141414</v>
      </c>
      <c r="L13" s="19">
        <f>I13+'FERR 1616-L1-2019'!G12+'FERR 1616-L3-2019'!H13</f>
        <v>74714167</v>
      </c>
    </row>
    <row r="14" spans="1:12" ht="15.5">
      <c r="A14" s="13" t="s">
        <v>142</v>
      </c>
      <c r="B14" s="99">
        <v>6907901</v>
      </c>
      <c r="C14" s="99">
        <v>1806224</v>
      </c>
      <c r="D14" s="99"/>
      <c r="E14" s="99"/>
      <c r="F14" s="99">
        <v>3071071</v>
      </c>
      <c r="G14" s="99">
        <v>637210</v>
      </c>
      <c r="H14" s="99"/>
      <c r="I14" s="89">
        <f t="shared" si="1"/>
        <v>12422406</v>
      </c>
      <c r="J14" s="94">
        <f t="shared" ref="J14:J24" si="3">J13+I14</f>
        <v>28578356</v>
      </c>
      <c r="K14" s="94">
        <f t="shared" si="2"/>
        <v>0.28867026262626261</v>
      </c>
      <c r="L14" s="19">
        <f>I14+'FERR 1616-L1-2019'!G13+'FERR 1616-L3-2019'!H14</f>
        <v>53410926</v>
      </c>
    </row>
    <row r="15" spans="1:12" ht="15.5">
      <c r="A15" s="13" t="s">
        <v>143</v>
      </c>
      <c r="B15" s="99">
        <v>3223485</v>
      </c>
      <c r="C15" s="99">
        <v>2595226</v>
      </c>
      <c r="D15" s="99"/>
      <c r="E15" s="99"/>
      <c r="F15" s="99">
        <v>10369104</v>
      </c>
      <c r="G15" s="99">
        <v>307142</v>
      </c>
      <c r="H15" s="99">
        <v>34128402</v>
      </c>
      <c r="I15" s="89">
        <f t="shared" si="1"/>
        <v>50623359</v>
      </c>
      <c r="J15" s="94">
        <f t="shared" si="3"/>
        <v>79201715</v>
      </c>
      <c r="K15" s="94">
        <f t="shared" si="2"/>
        <v>0.80001732323232322</v>
      </c>
      <c r="L15" s="19">
        <f>I15+'FERR 1616-L1-2019'!G14+'FERR 1616-L3-2019'!H15</f>
        <v>97727311</v>
      </c>
    </row>
    <row r="16" spans="1:12" ht="15.5">
      <c r="A16" s="13" t="s">
        <v>129</v>
      </c>
      <c r="B16" s="99"/>
      <c r="C16" s="99">
        <v>228826</v>
      </c>
      <c r="D16" s="99"/>
      <c r="E16" s="99"/>
      <c r="F16" s="99">
        <v>2213605</v>
      </c>
      <c r="G16" s="99">
        <v>2484256</v>
      </c>
      <c r="H16" s="99"/>
      <c r="I16" s="89">
        <f t="shared" si="1"/>
        <v>4926687</v>
      </c>
      <c r="J16" s="94">
        <f t="shared" si="3"/>
        <v>84128402</v>
      </c>
      <c r="K16" s="94">
        <f t="shared" si="2"/>
        <v>0.84978183838383836</v>
      </c>
      <c r="L16" s="19">
        <f>I16+'FERR 1616-L1-2019'!G15+'FERR 1616-L3-2019'!H16</f>
        <v>21777937</v>
      </c>
    </row>
    <row r="17" spans="1:12" ht="15.5">
      <c r="A17" s="13" t="s">
        <v>130</v>
      </c>
      <c r="B17" s="99"/>
      <c r="C17" s="99"/>
      <c r="D17" s="99"/>
      <c r="E17" s="99"/>
      <c r="F17" s="99"/>
      <c r="G17" s="99"/>
      <c r="H17" s="99"/>
      <c r="I17" s="89">
        <f t="shared" si="1"/>
        <v>0</v>
      </c>
      <c r="J17" s="94">
        <f t="shared" si="3"/>
        <v>84128402</v>
      </c>
      <c r="K17" s="94">
        <f t="shared" si="2"/>
        <v>0.84978183838383836</v>
      </c>
      <c r="L17" s="19">
        <f>I17+'FERR 1616-L1-2019'!G16+'FERR 1616-L3-2019'!H17</f>
        <v>0</v>
      </c>
    </row>
    <row r="18" spans="1:12" ht="15.5">
      <c r="A18" s="13" t="s">
        <v>131</v>
      </c>
      <c r="B18" s="99"/>
      <c r="C18" s="99"/>
      <c r="D18" s="99"/>
      <c r="E18" s="99"/>
      <c r="F18" s="99"/>
      <c r="G18" s="99"/>
      <c r="H18" s="99"/>
      <c r="I18" s="89">
        <f t="shared" si="1"/>
        <v>0</v>
      </c>
      <c r="J18" s="94">
        <f t="shared" si="3"/>
        <v>84128402</v>
      </c>
      <c r="K18" s="94">
        <f t="shared" si="2"/>
        <v>0.84978183838383836</v>
      </c>
      <c r="L18" s="19">
        <f>I18+'FERR 1616-L1-2019'!G17+'FERR 1616-L3-2019'!H18</f>
        <v>0</v>
      </c>
    </row>
    <row r="19" spans="1:12" ht="15.5">
      <c r="A19" s="13" t="s">
        <v>132</v>
      </c>
      <c r="B19" s="99"/>
      <c r="C19" s="99"/>
      <c r="D19" s="99"/>
      <c r="E19" s="99"/>
      <c r="F19" s="99"/>
      <c r="G19" s="99"/>
      <c r="H19" s="99"/>
      <c r="I19" s="89">
        <f t="shared" si="1"/>
        <v>0</v>
      </c>
      <c r="J19" s="94">
        <f t="shared" si="3"/>
        <v>84128402</v>
      </c>
      <c r="K19" s="94">
        <f t="shared" si="2"/>
        <v>0.84978183838383836</v>
      </c>
      <c r="L19" s="19">
        <f>352000000-L13-L14-L15-L16</f>
        <v>104369659</v>
      </c>
    </row>
    <row r="20" spans="1:12" ht="15.5">
      <c r="A20" s="13" t="s">
        <v>29</v>
      </c>
      <c r="B20" s="99"/>
      <c r="C20" s="99"/>
      <c r="D20" s="99"/>
      <c r="E20" s="99"/>
      <c r="F20" s="99"/>
      <c r="G20" s="99"/>
      <c r="H20" s="99"/>
      <c r="I20" s="89">
        <f t="shared" si="1"/>
        <v>0</v>
      </c>
      <c r="J20" s="94">
        <f t="shared" si="3"/>
        <v>84128402</v>
      </c>
      <c r="K20" s="94">
        <f t="shared" si="2"/>
        <v>0.84978183838383836</v>
      </c>
    </row>
    <row r="21" spans="1:12" ht="15.5">
      <c r="A21" s="13" t="s">
        <v>30</v>
      </c>
      <c r="B21" s="99"/>
      <c r="C21" s="99"/>
      <c r="D21" s="99"/>
      <c r="E21" s="99"/>
      <c r="F21" s="99"/>
      <c r="G21" s="99"/>
      <c r="H21" s="99"/>
      <c r="I21" s="89">
        <f t="shared" si="1"/>
        <v>0</v>
      </c>
      <c r="J21" s="94">
        <f t="shared" si="3"/>
        <v>84128402</v>
      </c>
      <c r="K21" s="94">
        <f t="shared" si="2"/>
        <v>0.84978183838383836</v>
      </c>
    </row>
    <row r="22" spans="1:12" ht="15.5">
      <c r="A22" s="13" t="s">
        <v>17</v>
      </c>
      <c r="B22" s="99"/>
      <c r="C22" s="99"/>
      <c r="D22" s="99"/>
      <c r="E22" s="99"/>
      <c r="F22" s="99"/>
      <c r="G22" s="99"/>
      <c r="H22" s="99"/>
      <c r="I22" s="89">
        <f t="shared" si="1"/>
        <v>0</v>
      </c>
      <c r="J22" s="94">
        <f t="shared" si="3"/>
        <v>84128402</v>
      </c>
      <c r="K22" s="94">
        <f t="shared" si="2"/>
        <v>0.84978183838383836</v>
      </c>
    </row>
    <row r="23" spans="1:12" ht="15.5">
      <c r="A23" s="13" t="s">
        <v>31</v>
      </c>
      <c r="B23" s="99"/>
      <c r="C23" s="99"/>
      <c r="D23" s="99"/>
      <c r="E23" s="99"/>
      <c r="F23" s="99"/>
      <c r="G23" s="99"/>
      <c r="H23" s="99"/>
      <c r="I23" s="89">
        <f t="shared" si="1"/>
        <v>0</v>
      </c>
      <c r="J23" s="94">
        <f t="shared" si="3"/>
        <v>84128402</v>
      </c>
      <c r="K23" s="94">
        <f t="shared" si="2"/>
        <v>0.84978183838383836</v>
      </c>
    </row>
    <row r="24" spans="1:12" ht="15.5">
      <c r="A24" s="13" t="s">
        <v>32</v>
      </c>
      <c r="B24" s="98"/>
      <c r="C24" s="98"/>
      <c r="D24" s="98"/>
      <c r="E24" s="98"/>
      <c r="F24" s="98"/>
      <c r="G24" s="98"/>
      <c r="H24" s="98"/>
      <c r="I24" s="89">
        <f t="shared" si="1"/>
        <v>0</v>
      </c>
      <c r="J24" s="94">
        <f t="shared" si="3"/>
        <v>84128402</v>
      </c>
      <c r="K24" s="94">
        <f t="shared" si="2"/>
        <v>0.84978183838383836</v>
      </c>
    </row>
    <row r="25" spans="1:12" ht="15.5">
      <c r="A25" s="11" t="s">
        <v>11</v>
      </c>
      <c r="B25" s="95">
        <f t="shared" ref="B25:H25" si="4">SUM(B13:B24)</f>
        <v>19000000</v>
      </c>
      <c r="C25" s="95">
        <f t="shared" si="4"/>
        <v>6500000</v>
      </c>
      <c r="D25" s="95">
        <f t="shared" si="4"/>
        <v>1500000</v>
      </c>
      <c r="E25" s="95">
        <f t="shared" si="4"/>
        <v>2500000</v>
      </c>
      <c r="F25" s="95">
        <f t="shared" si="4"/>
        <v>17000000</v>
      </c>
      <c r="G25" s="95">
        <f t="shared" si="4"/>
        <v>3500000</v>
      </c>
      <c r="H25" s="95">
        <f t="shared" si="4"/>
        <v>34128402</v>
      </c>
      <c r="I25" s="95">
        <f t="shared" si="1"/>
        <v>84128402</v>
      </c>
      <c r="J25" s="94"/>
      <c r="K25" s="94"/>
    </row>
    <row r="26" spans="1:12" ht="15.5">
      <c r="A26" s="11" t="s">
        <v>12</v>
      </c>
      <c r="B26" s="95">
        <f t="shared" ref="B26:H26" si="5">B10-B25</f>
        <v>0</v>
      </c>
      <c r="C26" s="95">
        <f t="shared" si="5"/>
        <v>0</v>
      </c>
      <c r="D26" s="95">
        <f t="shared" si="5"/>
        <v>0</v>
      </c>
      <c r="E26" s="95">
        <f t="shared" si="5"/>
        <v>0</v>
      </c>
      <c r="F26" s="95">
        <f t="shared" si="5"/>
        <v>0</v>
      </c>
      <c r="G26" s="95">
        <f t="shared" si="5"/>
        <v>0</v>
      </c>
      <c r="H26" s="95">
        <f t="shared" si="5"/>
        <v>14871598</v>
      </c>
      <c r="I26" s="89"/>
      <c r="J26" s="94"/>
      <c r="K26" s="94"/>
      <c r="L26" s="19"/>
    </row>
    <row r="27" spans="1:12" ht="14">
      <c r="A27" s="11" t="s">
        <v>13</v>
      </c>
      <c r="B27" s="361">
        <f>B26+C26+D26+E26+F26+G26+H26</f>
        <v>14871598</v>
      </c>
      <c r="C27" s="342"/>
      <c r="D27" s="342"/>
      <c r="E27" s="342"/>
      <c r="F27" s="342"/>
      <c r="G27" s="342"/>
      <c r="H27" s="343"/>
      <c r="I27" s="1"/>
      <c r="J27" s="7"/>
      <c r="K27" s="7"/>
      <c r="L27" s="19"/>
    </row>
    <row r="28" spans="1:12" ht="14">
      <c r="L28" s="19"/>
    </row>
    <row r="29" spans="1:12" ht="14">
      <c r="L29" s="19"/>
    </row>
    <row r="30" spans="1:12" ht="14">
      <c r="A30" s="21" t="s">
        <v>144</v>
      </c>
      <c r="B30" s="19">
        <f>B10+'FERR 1616-L1-2019'!B10+'FERR 1616-L3-2019'!B10</f>
        <v>103000000</v>
      </c>
      <c r="C30" s="19">
        <f>C10+'FERR 1616-L1-2019'!C10+'FERR 1616-L3-2019'!C10</f>
        <v>30500000</v>
      </c>
      <c r="D30" s="19">
        <f>D10</f>
        <v>1500000</v>
      </c>
      <c r="E30" s="19">
        <f>E10+'FERR 1616-L1-2019'!D10+'FERR 1616-L3-2019'!D10</f>
        <v>23000000</v>
      </c>
      <c r="F30" s="19">
        <f>F10+'FERR 1616-L1-2019'!E10+'FERR 1616-L3-2019'!E10</f>
        <v>128000000</v>
      </c>
      <c r="G30" s="19">
        <f>G10+'FERR 1616-L1-2019'!F10+'FERR 1616-L3-2019'!F10</f>
        <v>16000000</v>
      </c>
      <c r="H30" s="19">
        <f>H10+'FERR 1616-L3-2019'!G10</f>
        <v>50000000</v>
      </c>
      <c r="I30" s="19">
        <f>B30+C30+D30+E30+F30+G30+H30</f>
        <v>352000000</v>
      </c>
      <c r="L30" s="19"/>
    </row>
    <row r="31" spans="1:12" ht="14">
      <c r="A31" s="21" t="s">
        <v>145</v>
      </c>
      <c r="B31" s="19">
        <f>B11+'FERR 1616-L1-2019'!B11+'FERR 1616-L3-2019'!B11</f>
        <v>352000000</v>
      </c>
      <c r="L31" s="19"/>
    </row>
    <row r="32" spans="1:12" ht="14">
      <c r="A32" s="21" t="s">
        <v>146</v>
      </c>
      <c r="B32" s="19">
        <f>I25+'FERR 1616-L1-2019'!G24+'FERR 1616-L3-2019'!H25</f>
        <v>247630341</v>
      </c>
      <c r="E32" s="19"/>
      <c r="F32" s="19"/>
    </row>
    <row r="33" spans="1:9" ht="14">
      <c r="A33" s="21" t="s">
        <v>13</v>
      </c>
      <c r="B33" s="19">
        <f>B31-B32</f>
        <v>104369659</v>
      </c>
      <c r="E33" s="19"/>
    </row>
    <row r="34" spans="1:9" ht="14">
      <c r="B34" s="19"/>
      <c r="C34" s="19"/>
      <c r="D34" s="19"/>
      <c r="E34" s="19"/>
      <c r="F34" s="19"/>
      <c r="G34" s="19"/>
      <c r="H34" s="19"/>
      <c r="I34" s="19"/>
    </row>
    <row r="35" spans="1:9" ht="14">
      <c r="A35" s="21" t="s">
        <v>147</v>
      </c>
      <c r="B35" s="100">
        <f t="shared" ref="B35:H35" si="6">B30/2</f>
        <v>51500000</v>
      </c>
      <c r="C35" s="100">
        <f t="shared" si="6"/>
        <v>15250000</v>
      </c>
      <c r="D35" s="100">
        <f t="shared" si="6"/>
        <v>750000</v>
      </c>
      <c r="E35" s="19">
        <f t="shared" si="6"/>
        <v>11500000</v>
      </c>
      <c r="F35" s="100">
        <f t="shared" si="6"/>
        <v>64000000</v>
      </c>
      <c r="G35" s="100">
        <f t="shared" si="6"/>
        <v>8000000</v>
      </c>
      <c r="H35" s="100">
        <f t="shared" si="6"/>
        <v>25000000</v>
      </c>
      <c r="I35" s="19"/>
    </row>
    <row r="36" spans="1:9" ht="14">
      <c r="A36" s="21" t="s">
        <v>148</v>
      </c>
      <c r="B36" s="19">
        <f>B35+C35+D35+E35+F35+G35+H35+I35</f>
        <v>176000000</v>
      </c>
      <c r="C36" s="19"/>
      <c r="D36" s="19"/>
      <c r="E36" s="19"/>
      <c r="F36" s="19"/>
      <c r="G36" s="19"/>
      <c r="H36" s="19"/>
      <c r="I36" s="19"/>
    </row>
  </sheetData>
  <mergeCells count="10">
    <mergeCell ref="B11:H11"/>
    <mergeCell ref="B12:H12"/>
    <mergeCell ref="B27:H27"/>
    <mergeCell ref="A2:K2"/>
    <mergeCell ref="A3:K3"/>
    <mergeCell ref="B4:C4"/>
    <mergeCell ref="B5:C5"/>
    <mergeCell ref="A6:K6"/>
    <mergeCell ref="A7:A9"/>
    <mergeCell ref="B7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2:J36"/>
  <sheetViews>
    <sheetView workbookViewId="0"/>
  </sheetViews>
  <sheetFormatPr baseColWidth="10" defaultColWidth="12.58203125" defaultRowHeight="15" customHeight="1"/>
  <cols>
    <col min="1" max="1" width="27.75" customWidth="1"/>
    <col min="2" max="10" width="16.58203125" customWidth="1"/>
  </cols>
  <sheetData>
    <row r="2" spans="1:10" ht="14">
      <c r="A2" s="357" t="s">
        <v>149</v>
      </c>
      <c r="B2" s="342"/>
      <c r="C2" s="342"/>
      <c r="D2" s="342"/>
      <c r="E2" s="342"/>
      <c r="F2" s="342"/>
      <c r="G2" s="342"/>
      <c r="H2" s="342"/>
      <c r="I2" s="342"/>
      <c r="J2" s="343"/>
    </row>
    <row r="3" spans="1:10" ht="14">
      <c r="A3" s="357" t="s">
        <v>106</v>
      </c>
      <c r="B3" s="342"/>
      <c r="C3" s="342"/>
      <c r="D3" s="342"/>
      <c r="E3" s="342"/>
      <c r="F3" s="342"/>
      <c r="G3" s="342"/>
      <c r="H3" s="342"/>
      <c r="I3" s="342"/>
      <c r="J3" s="343"/>
    </row>
    <row r="4" spans="1:10" ht="14">
      <c r="A4" s="2" t="s">
        <v>0</v>
      </c>
      <c r="B4" s="358" t="s">
        <v>1</v>
      </c>
      <c r="C4" s="343"/>
      <c r="D4" s="2" t="s">
        <v>107</v>
      </c>
      <c r="E4" s="2" t="s">
        <v>108</v>
      </c>
      <c r="F4" s="38"/>
      <c r="G4" s="38"/>
      <c r="H4" s="38"/>
      <c r="I4" s="38"/>
      <c r="J4" s="38"/>
    </row>
    <row r="5" spans="1:10" ht="14">
      <c r="A5" s="6">
        <v>43671</v>
      </c>
      <c r="B5" s="359">
        <v>43885</v>
      </c>
      <c r="C5" s="343"/>
      <c r="D5" s="2" t="s">
        <v>109</v>
      </c>
      <c r="E5" s="2" t="s">
        <v>109</v>
      </c>
      <c r="F5" s="38"/>
      <c r="G5" s="38"/>
      <c r="H5" s="38"/>
      <c r="I5" s="38"/>
      <c r="J5" s="38"/>
    </row>
    <row r="6" spans="1:10" ht="14">
      <c r="A6" s="358" t="s">
        <v>21</v>
      </c>
      <c r="B6" s="342"/>
      <c r="C6" s="342"/>
      <c r="D6" s="342"/>
      <c r="E6" s="342"/>
      <c r="F6" s="342"/>
      <c r="G6" s="342"/>
      <c r="H6" s="342"/>
      <c r="I6" s="342"/>
      <c r="J6" s="343"/>
    </row>
    <row r="7" spans="1:10" ht="14">
      <c r="A7" s="360" t="s">
        <v>110</v>
      </c>
      <c r="B7" s="368" t="s">
        <v>150</v>
      </c>
      <c r="C7" s="342"/>
      <c r="D7" s="342"/>
      <c r="E7" s="342"/>
      <c r="F7" s="342"/>
      <c r="G7" s="343"/>
      <c r="H7" s="33" t="s">
        <v>135</v>
      </c>
      <c r="I7" s="33" t="s">
        <v>113</v>
      </c>
      <c r="J7" s="33" t="s">
        <v>114</v>
      </c>
    </row>
    <row r="8" spans="1:10" ht="14">
      <c r="A8" s="339"/>
      <c r="B8" s="101" t="s">
        <v>115</v>
      </c>
      <c r="C8" s="101" t="s">
        <v>116</v>
      </c>
      <c r="D8" s="101" t="s">
        <v>117</v>
      </c>
      <c r="E8" s="101" t="s">
        <v>118</v>
      </c>
      <c r="F8" s="101" t="s">
        <v>119</v>
      </c>
      <c r="G8" s="101" t="s">
        <v>138</v>
      </c>
      <c r="H8" s="89"/>
      <c r="I8" s="89"/>
      <c r="J8" s="89"/>
    </row>
    <row r="9" spans="1:10" ht="15" customHeight="1">
      <c r="A9" s="340"/>
      <c r="B9" s="102" t="s">
        <v>120</v>
      </c>
      <c r="C9" s="102" t="s">
        <v>121</v>
      </c>
      <c r="D9" s="102" t="s">
        <v>122</v>
      </c>
      <c r="E9" s="102" t="s">
        <v>123</v>
      </c>
      <c r="F9" s="102" t="s">
        <v>124</v>
      </c>
      <c r="G9" s="102" t="s">
        <v>140</v>
      </c>
      <c r="H9" s="89"/>
      <c r="I9" s="89"/>
      <c r="J9" s="89"/>
    </row>
    <row r="10" spans="1:10" ht="15" customHeight="1">
      <c r="A10" s="41" t="s">
        <v>5</v>
      </c>
      <c r="B10" s="103">
        <v>65000000</v>
      </c>
      <c r="C10" s="103">
        <v>21000000</v>
      </c>
      <c r="D10" s="103">
        <v>18500000</v>
      </c>
      <c r="E10" s="103">
        <v>90500000</v>
      </c>
      <c r="F10" s="103">
        <v>11500000</v>
      </c>
      <c r="G10" s="103">
        <v>1000000</v>
      </c>
      <c r="H10" s="11">
        <f>B10+C10+D10+E10+F10+G10</f>
        <v>207500000</v>
      </c>
      <c r="I10" s="89"/>
      <c r="J10" s="89"/>
    </row>
    <row r="11" spans="1:10" ht="15" customHeight="1">
      <c r="A11" s="11" t="s">
        <v>125</v>
      </c>
      <c r="B11" s="367">
        <f>B10+C10+D10+E10+F10+G10</f>
        <v>207500000</v>
      </c>
      <c r="C11" s="342"/>
      <c r="D11" s="342"/>
      <c r="E11" s="342"/>
      <c r="F11" s="342"/>
      <c r="G11" s="343"/>
      <c r="H11" s="89"/>
      <c r="I11" s="89"/>
      <c r="J11" s="89"/>
    </row>
    <row r="12" spans="1:10" ht="15" customHeight="1">
      <c r="A12" s="11" t="s">
        <v>33</v>
      </c>
      <c r="B12" s="364"/>
      <c r="C12" s="342"/>
      <c r="D12" s="342"/>
      <c r="E12" s="342"/>
      <c r="F12" s="342"/>
      <c r="G12" s="343"/>
      <c r="H12" s="89"/>
      <c r="I12" s="94">
        <f t="shared" ref="I12:I13" si="0">H12</f>
        <v>0</v>
      </c>
      <c r="J12" s="89"/>
    </row>
    <row r="13" spans="1:10" ht="15.5">
      <c r="A13" s="13" t="s">
        <v>151</v>
      </c>
      <c r="B13" s="104">
        <v>8905857</v>
      </c>
      <c r="C13" s="104">
        <v>2825560</v>
      </c>
      <c r="D13" s="104">
        <v>18500000</v>
      </c>
      <c r="E13" s="104">
        <v>8502181</v>
      </c>
      <c r="F13" s="104">
        <v>2204550</v>
      </c>
      <c r="G13" s="104"/>
      <c r="H13" s="89">
        <f t="shared" ref="H13:H26" si="1">B13+C13+D13+E13+F13+G13</f>
        <v>40938148</v>
      </c>
      <c r="I13" s="94">
        <f t="shared" si="0"/>
        <v>40938148</v>
      </c>
      <c r="J13" s="94">
        <f t="shared" ref="J13:J24" si="2">I13/$B$11</f>
        <v>0.19729227951807229</v>
      </c>
    </row>
    <row r="14" spans="1:10" ht="15.5">
      <c r="A14" s="13" t="s">
        <v>152</v>
      </c>
      <c r="B14" s="104">
        <v>16712673</v>
      </c>
      <c r="C14" s="104">
        <v>7968970</v>
      </c>
      <c r="D14" s="104"/>
      <c r="E14" s="104">
        <v>6690710</v>
      </c>
      <c r="F14" s="104">
        <v>3828970</v>
      </c>
      <c r="G14" s="104"/>
      <c r="H14" s="89">
        <f t="shared" si="1"/>
        <v>35201323</v>
      </c>
      <c r="I14" s="94">
        <f t="shared" ref="I14:I24" si="3">I13+H14</f>
        <v>76139471</v>
      </c>
      <c r="J14" s="94">
        <f t="shared" si="2"/>
        <v>0.3669372096385542</v>
      </c>
    </row>
    <row r="15" spans="1:10" ht="15.5">
      <c r="A15" s="13" t="s">
        <v>153</v>
      </c>
      <c r="B15" s="104">
        <v>22461619</v>
      </c>
      <c r="C15" s="104">
        <v>9912879</v>
      </c>
      <c r="D15" s="104"/>
      <c r="E15" s="104">
        <v>1044753</v>
      </c>
      <c r="F15" s="104">
        <v>5172064</v>
      </c>
      <c r="G15" s="104">
        <v>1000000</v>
      </c>
      <c r="H15" s="89">
        <f t="shared" si="1"/>
        <v>39591315</v>
      </c>
      <c r="I15" s="94">
        <f t="shared" si="3"/>
        <v>115730786</v>
      </c>
      <c r="J15" s="94">
        <f t="shared" si="2"/>
        <v>0.55773872771084332</v>
      </c>
    </row>
    <row r="16" spans="1:10" ht="15.5">
      <c r="A16" s="13" t="s">
        <v>129</v>
      </c>
      <c r="B16" s="104">
        <v>2759560</v>
      </c>
      <c r="C16" s="104">
        <v>292591</v>
      </c>
      <c r="D16" s="104"/>
      <c r="E16" s="104">
        <v>5785368</v>
      </c>
      <c r="F16" s="104">
        <v>294416</v>
      </c>
      <c r="G16" s="104"/>
      <c r="H16" s="89">
        <f t="shared" si="1"/>
        <v>9131935</v>
      </c>
      <c r="I16" s="94">
        <f t="shared" si="3"/>
        <v>124862721</v>
      </c>
      <c r="J16" s="94">
        <f t="shared" si="2"/>
        <v>0.60174805301204815</v>
      </c>
    </row>
    <row r="17" spans="1:10" ht="15.5">
      <c r="A17" s="13" t="s">
        <v>130</v>
      </c>
      <c r="B17" s="104"/>
      <c r="C17" s="104"/>
      <c r="D17" s="104"/>
      <c r="E17" s="104"/>
      <c r="F17" s="104"/>
      <c r="G17" s="104"/>
      <c r="H17" s="89">
        <f t="shared" si="1"/>
        <v>0</v>
      </c>
      <c r="I17" s="94">
        <f t="shared" si="3"/>
        <v>124862721</v>
      </c>
      <c r="J17" s="94">
        <f t="shared" si="2"/>
        <v>0.60174805301204815</v>
      </c>
    </row>
    <row r="18" spans="1:10" ht="15.5">
      <c r="A18" s="13" t="s">
        <v>131</v>
      </c>
      <c r="B18" s="104"/>
      <c r="C18" s="104"/>
      <c r="D18" s="104"/>
      <c r="E18" s="104"/>
      <c r="F18" s="104"/>
      <c r="G18" s="104"/>
      <c r="H18" s="89">
        <f t="shared" si="1"/>
        <v>0</v>
      </c>
      <c r="I18" s="94">
        <f t="shared" si="3"/>
        <v>124862721</v>
      </c>
      <c r="J18" s="94">
        <f t="shared" si="2"/>
        <v>0.60174805301204815</v>
      </c>
    </row>
    <row r="19" spans="1:10" ht="15.5">
      <c r="A19" s="13" t="s">
        <v>132</v>
      </c>
      <c r="B19" s="104"/>
      <c r="C19" s="104"/>
      <c r="D19" s="104"/>
      <c r="E19" s="104"/>
      <c r="F19" s="104"/>
      <c r="G19" s="104"/>
      <c r="H19" s="89">
        <f t="shared" si="1"/>
        <v>0</v>
      </c>
      <c r="I19" s="94">
        <f t="shared" si="3"/>
        <v>124862721</v>
      </c>
      <c r="J19" s="94">
        <f t="shared" si="2"/>
        <v>0.60174805301204815</v>
      </c>
    </row>
    <row r="20" spans="1:10" ht="15.5">
      <c r="A20" s="13" t="s">
        <v>29</v>
      </c>
      <c r="B20" s="104"/>
      <c r="C20" s="104"/>
      <c r="D20" s="104"/>
      <c r="E20" s="104"/>
      <c r="F20" s="104"/>
      <c r="G20" s="104"/>
      <c r="H20" s="89">
        <f t="shared" si="1"/>
        <v>0</v>
      </c>
      <c r="I20" s="94">
        <f t="shared" si="3"/>
        <v>124862721</v>
      </c>
      <c r="J20" s="94">
        <f t="shared" si="2"/>
        <v>0.60174805301204815</v>
      </c>
    </row>
    <row r="21" spans="1:10" ht="15.5">
      <c r="A21" s="13" t="s">
        <v>30</v>
      </c>
      <c r="B21" s="104"/>
      <c r="C21" s="104"/>
      <c r="D21" s="104"/>
      <c r="E21" s="104"/>
      <c r="F21" s="104"/>
      <c r="G21" s="104"/>
      <c r="H21" s="89">
        <f t="shared" si="1"/>
        <v>0</v>
      </c>
      <c r="I21" s="94">
        <f t="shared" si="3"/>
        <v>124862721</v>
      </c>
      <c r="J21" s="94">
        <f t="shared" si="2"/>
        <v>0.60174805301204815</v>
      </c>
    </row>
    <row r="22" spans="1:10" ht="15.5">
      <c r="A22" s="13" t="s">
        <v>17</v>
      </c>
      <c r="B22" s="104"/>
      <c r="C22" s="104"/>
      <c r="D22" s="104"/>
      <c r="E22" s="104"/>
      <c r="F22" s="104"/>
      <c r="G22" s="104"/>
      <c r="H22" s="89">
        <f t="shared" si="1"/>
        <v>0</v>
      </c>
      <c r="I22" s="94">
        <f t="shared" si="3"/>
        <v>124862721</v>
      </c>
      <c r="J22" s="94">
        <f t="shared" si="2"/>
        <v>0.60174805301204815</v>
      </c>
    </row>
    <row r="23" spans="1:10" ht="15.5">
      <c r="A23" s="13" t="s">
        <v>31</v>
      </c>
      <c r="B23" s="104"/>
      <c r="C23" s="104"/>
      <c r="D23" s="104"/>
      <c r="E23" s="104"/>
      <c r="F23" s="104"/>
      <c r="G23" s="104"/>
      <c r="H23" s="89">
        <f t="shared" si="1"/>
        <v>0</v>
      </c>
      <c r="I23" s="94">
        <f t="shared" si="3"/>
        <v>124862721</v>
      </c>
      <c r="J23" s="94">
        <f t="shared" si="2"/>
        <v>0.60174805301204815</v>
      </c>
    </row>
    <row r="24" spans="1:10" ht="15.5">
      <c r="A24" s="13" t="s">
        <v>32</v>
      </c>
      <c r="B24" s="103"/>
      <c r="C24" s="103"/>
      <c r="D24" s="103"/>
      <c r="E24" s="103"/>
      <c r="F24" s="103"/>
      <c r="G24" s="104"/>
      <c r="H24" s="89">
        <f t="shared" si="1"/>
        <v>0</v>
      </c>
      <c r="I24" s="94">
        <f t="shared" si="3"/>
        <v>124862721</v>
      </c>
      <c r="J24" s="94">
        <f t="shared" si="2"/>
        <v>0.60174805301204815</v>
      </c>
    </row>
    <row r="25" spans="1:10" ht="15.5">
      <c r="A25" s="11" t="s">
        <v>11</v>
      </c>
      <c r="B25" s="95">
        <f t="shared" ref="B25:G25" si="4">SUM(B13:B24)</f>
        <v>50839709</v>
      </c>
      <c r="C25" s="95">
        <f t="shared" si="4"/>
        <v>21000000</v>
      </c>
      <c r="D25" s="95">
        <f t="shared" si="4"/>
        <v>18500000</v>
      </c>
      <c r="E25" s="95">
        <f t="shared" si="4"/>
        <v>22023012</v>
      </c>
      <c r="F25" s="95">
        <f t="shared" si="4"/>
        <v>11500000</v>
      </c>
      <c r="G25" s="95">
        <f t="shared" si="4"/>
        <v>1000000</v>
      </c>
      <c r="H25" s="95">
        <f t="shared" si="1"/>
        <v>124862721</v>
      </c>
      <c r="I25" s="94"/>
      <c r="J25" s="94"/>
    </row>
    <row r="26" spans="1:10" ht="15.5">
      <c r="A26" s="11" t="s">
        <v>12</v>
      </c>
      <c r="B26" s="95">
        <f t="shared" ref="B26:G26" si="5">B10-B25</f>
        <v>14160291</v>
      </c>
      <c r="C26" s="95">
        <f t="shared" si="5"/>
        <v>0</v>
      </c>
      <c r="D26" s="95">
        <f t="shared" si="5"/>
        <v>0</v>
      </c>
      <c r="E26" s="95">
        <f t="shared" si="5"/>
        <v>68476988</v>
      </c>
      <c r="F26" s="95">
        <f t="shared" si="5"/>
        <v>0</v>
      </c>
      <c r="G26" s="95">
        <f t="shared" si="5"/>
        <v>0</v>
      </c>
      <c r="H26" s="95">
        <f t="shared" si="1"/>
        <v>82637279</v>
      </c>
      <c r="I26" s="94"/>
      <c r="J26" s="94"/>
    </row>
    <row r="27" spans="1:10" ht="14">
      <c r="A27" s="11" t="s">
        <v>13</v>
      </c>
      <c r="B27" s="361">
        <f>B26+C26+D26+E26+F26+G26</f>
        <v>82637279</v>
      </c>
      <c r="C27" s="342"/>
      <c r="D27" s="342"/>
      <c r="E27" s="342"/>
      <c r="F27" s="342"/>
      <c r="G27" s="343"/>
      <c r="H27" s="1"/>
      <c r="I27" s="7"/>
      <c r="J27" s="7"/>
    </row>
    <row r="29" spans="1:10" ht="14">
      <c r="C29" s="19"/>
    </row>
    <row r="31" spans="1:10" ht="15.5">
      <c r="B31" s="35"/>
      <c r="C31" s="35"/>
      <c r="D31" s="35"/>
      <c r="E31" s="35"/>
      <c r="F31" s="35"/>
      <c r="G31" s="35"/>
    </row>
    <row r="32" spans="1:10" ht="15.5">
      <c r="B32" s="35"/>
      <c r="C32" s="35"/>
      <c r="D32" s="35"/>
      <c r="E32" s="35"/>
      <c r="F32" s="35"/>
      <c r="G32" s="35"/>
    </row>
    <row r="33" spans="3:7" ht="15.5">
      <c r="C33" s="35"/>
      <c r="G33" s="19"/>
    </row>
    <row r="34" spans="3:7" ht="14">
      <c r="G34" s="19"/>
    </row>
    <row r="35" spans="3:7" ht="14">
      <c r="G35" s="19"/>
    </row>
    <row r="36" spans="3:7" ht="14">
      <c r="G36" s="19"/>
    </row>
  </sheetData>
  <mergeCells count="10">
    <mergeCell ref="B11:G11"/>
    <mergeCell ref="B12:G12"/>
    <mergeCell ref="B27:G27"/>
    <mergeCell ref="A2:J2"/>
    <mergeCell ref="A3:J3"/>
    <mergeCell ref="B4:C4"/>
    <mergeCell ref="B5:C5"/>
    <mergeCell ref="A6:J6"/>
    <mergeCell ref="A7:A9"/>
    <mergeCell ref="B7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1030"/>
  <sheetViews>
    <sheetView workbookViewId="0"/>
  </sheetViews>
  <sheetFormatPr baseColWidth="10" defaultColWidth="12.58203125" defaultRowHeight="15" customHeight="1"/>
  <cols>
    <col min="1" max="1" width="17.83203125" customWidth="1"/>
    <col min="2" max="2" width="83.5" customWidth="1"/>
    <col min="3" max="3" width="21.08203125" customWidth="1"/>
    <col min="4" max="4" width="14.83203125" customWidth="1"/>
    <col min="5" max="5" width="18.33203125" customWidth="1"/>
    <col min="6" max="6" width="15.25" customWidth="1"/>
    <col min="7" max="7" width="15" customWidth="1"/>
    <col min="8" max="9" width="12.75" customWidth="1"/>
    <col min="10" max="10" width="14.75" customWidth="1"/>
    <col min="11" max="26" width="8.58203125" customWidth="1"/>
  </cols>
  <sheetData>
    <row r="1" spans="1:26" ht="14.25" customHeight="1">
      <c r="A1" s="1"/>
      <c r="B1" s="357" t="s">
        <v>52</v>
      </c>
      <c r="C1" s="34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357" t="s">
        <v>53</v>
      </c>
      <c r="C2" s="343"/>
      <c r="D2" s="1"/>
      <c r="E2" s="1" t="s">
        <v>154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1"/>
      <c r="B3" s="2" t="s">
        <v>0</v>
      </c>
      <c r="C3" s="3" t="s">
        <v>1</v>
      </c>
      <c r="D3" s="2" t="s">
        <v>54</v>
      </c>
      <c r="E3" s="105" t="s">
        <v>19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"/>
      <c r="B4" s="6">
        <v>44326</v>
      </c>
      <c r="C4" s="5">
        <v>44570</v>
      </c>
      <c r="D4" s="4">
        <v>44629</v>
      </c>
      <c r="E4" s="106">
        <v>44751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"/>
      <c r="B5" s="369"/>
      <c r="C5" s="334"/>
      <c r="E5" s="105" t="s">
        <v>155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"/>
      <c r="B6" s="354"/>
      <c r="C6" s="337"/>
      <c r="E6" s="107">
        <v>9000000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"/>
      <c r="B7" s="108"/>
      <c r="C7" s="38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1"/>
      <c r="B8" s="370" t="s">
        <v>156</v>
      </c>
      <c r="C8" s="38" t="s">
        <v>50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340"/>
      <c r="C9" s="38" t="s">
        <v>56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41" t="s">
        <v>5</v>
      </c>
      <c r="C10" s="13">
        <v>18000000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1" t="s">
        <v>6</v>
      </c>
      <c r="C11" s="33">
        <f>+C10</f>
        <v>18000000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38" t="s">
        <v>157</v>
      </c>
      <c r="C12" s="3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09" t="s">
        <v>158</v>
      </c>
      <c r="C13" s="13">
        <v>9000000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8" t="s">
        <v>159</v>
      </c>
      <c r="C14" s="1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1" t="s">
        <v>160</v>
      </c>
      <c r="C15" s="110">
        <f>+C10+C13+C14</f>
        <v>27000000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" t="s">
        <v>60</v>
      </c>
      <c r="B16" s="11" t="s">
        <v>161</v>
      </c>
      <c r="C16" s="110">
        <f>+C15</f>
        <v>27000000</v>
      </c>
      <c r="D16" s="36" t="s">
        <v>48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45" t="s">
        <v>162</v>
      </c>
      <c r="B17" s="13" t="s">
        <v>61</v>
      </c>
      <c r="C17" s="14">
        <v>772032</v>
      </c>
      <c r="D17" s="111">
        <f>C17/C16</f>
        <v>2.8593777777777777E-2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45" t="s">
        <v>163</v>
      </c>
      <c r="B18" s="13" t="s">
        <v>164</v>
      </c>
      <c r="C18" s="14">
        <v>1580910</v>
      </c>
      <c r="D18" s="111">
        <f t="shared" ref="D18:D49" si="0">(C18/C$16)+D17</f>
        <v>8.7146000000000001E-2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45" t="s">
        <v>165</v>
      </c>
      <c r="B19" s="13" t="s">
        <v>63</v>
      </c>
      <c r="C19" s="14">
        <v>1703173.47</v>
      </c>
      <c r="D19" s="111">
        <f t="shared" si="0"/>
        <v>0.15022649888888889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45" t="s">
        <v>166</v>
      </c>
      <c r="B20" s="13" t="s">
        <v>64</v>
      </c>
      <c r="C20" s="14">
        <v>1479930</v>
      </c>
      <c r="D20" s="111">
        <f t="shared" si="0"/>
        <v>0.2050387211111111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45" t="s">
        <v>167</v>
      </c>
      <c r="B21" s="13" t="s">
        <v>65</v>
      </c>
      <c r="C21" s="14">
        <v>2678348</v>
      </c>
      <c r="D21" s="111">
        <f t="shared" si="0"/>
        <v>0.3042367951851852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45" t="s">
        <v>168</v>
      </c>
      <c r="B22" s="13" t="s">
        <v>66</v>
      </c>
      <c r="C22" s="14">
        <v>1416908</v>
      </c>
      <c r="D22" s="111">
        <f t="shared" si="0"/>
        <v>0.35671486925925927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45" t="s">
        <v>169</v>
      </c>
      <c r="B23" s="13" t="s">
        <v>67</v>
      </c>
      <c r="C23" s="14">
        <v>1946116</v>
      </c>
      <c r="D23" s="111">
        <f t="shared" si="0"/>
        <v>0.42879323962962967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45" t="s">
        <v>170</v>
      </c>
      <c r="B24" s="13" t="s">
        <v>68</v>
      </c>
      <c r="C24" s="14">
        <v>1590939</v>
      </c>
      <c r="D24" s="111">
        <f t="shared" si="0"/>
        <v>0.48771690629629633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45" t="s">
        <v>171</v>
      </c>
      <c r="B25" s="13" t="s">
        <v>69</v>
      </c>
      <c r="C25" s="14">
        <v>844373</v>
      </c>
      <c r="D25" s="111">
        <f t="shared" si="0"/>
        <v>0.51898998037037036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5" t="s">
        <v>172</v>
      </c>
      <c r="B26" s="13" t="s">
        <v>70</v>
      </c>
      <c r="C26" s="14">
        <v>1410730</v>
      </c>
      <c r="D26" s="111">
        <f t="shared" si="0"/>
        <v>0.57123923962962964</v>
      </c>
      <c r="E26" s="330" t="s">
        <v>173</v>
      </c>
      <c r="F26" s="331"/>
      <c r="G26" s="33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45" t="s">
        <v>174</v>
      </c>
      <c r="B27" s="112" t="s">
        <v>71</v>
      </c>
      <c r="C27" s="14">
        <v>1674160</v>
      </c>
      <c r="D27" s="111">
        <f t="shared" si="0"/>
        <v>0.63324516555555554</v>
      </c>
      <c r="E27" s="331"/>
      <c r="F27" s="331"/>
      <c r="G27" s="331"/>
      <c r="H27" s="1"/>
      <c r="I27" s="2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45"/>
      <c r="B28" s="13"/>
      <c r="C28" s="14"/>
      <c r="D28" s="111">
        <f t="shared" si="0"/>
        <v>0.63324516555555554</v>
      </c>
      <c r="E28" s="24">
        <v>423459</v>
      </c>
      <c r="F28" s="24">
        <v>550000</v>
      </c>
      <c r="G28" s="1" t="s">
        <v>175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45"/>
      <c r="B29" s="13"/>
      <c r="C29" s="14"/>
      <c r="D29" s="111">
        <f t="shared" si="0"/>
        <v>0.63324516555555554</v>
      </c>
      <c r="E29" s="24">
        <v>950000</v>
      </c>
      <c r="F29" s="24">
        <v>550000</v>
      </c>
      <c r="G29" s="1" t="s">
        <v>51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45"/>
      <c r="B30" s="112"/>
      <c r="C30" s="14"/>
      <c r="D30" s="111">
        <f t="shared" si="0"/>
        <v>0.63324516555555554</v>
      </c>
      <c r="E30" s="24"/>
      <c r="F30" s="2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45"/>
      <c r="B31" s="13"/>
      <c r="C31" s="14"/>
      <c r="D31" s="111">
        <f t="shared" si="0"/>
        <v>0.63324516555555554</v>
      </c>
      <c r="E31" s="24"/>
      <c r="F31" s="24"/>
      <c r="G31" s="1" t="s">
        <v>176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45"/>
      <c r="B32" s="13"/>
      <c r="C32" s="14"/>
      <c r="D32" s="111">
        <f t="shared" si="0"/>
        <v>0.63324516555555554</v>
      </c>
      <c r="E32" s="24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3"/>
      <c r="B33" s="13"/>
      <c r="C33" s="14"/>
      <c r="D33" s="111">
        <f t="shared" si="0"/>
        <v>0.63324516555555554</v>
      </c>
      <c r="E33" s="24"/>
      <c r="F33" s="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3"/>
      <c r="B34" s="13"/>
      <c r="C34" s="14"/>
      <c r="D34" s="111">
        <f t="shared" si="0"/>
        <v>0.63324516555555554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3"/>
      <c r="B35" s="13"/>
      <c r="C35" s="14"/>
      <c r="D35" s="113">
        <f t="shared" si="0"/>
        <v>0.63324516555555554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3"/>
      <c r="B36" s="13"/>
      <c r="C36" s="14"/>
      <c r="D36" s="113">
        <f t="shared" si="0"/>
        <v>0.63324516555555554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3"/>
      <c r="B37" s="13"/>
      <c r="C37" s="14"/>
      <c r="D37" s="113">
        <f t="shared" si="0"/>
        <v>0.63324516555555554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3"/>
      <c r="B38" s="13"/>
      <c r="C38" s="14"/>
      <c r="D38" s="113">
        <f t="shared" si="0"/>
        <v>0.63324516555555554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3"/>
      <c r="B39" s="13"/>
      <c r="C39" s="14"/>
      <c r="D39" s="113">
        <f t="shared" si="0"/>
        <v>0.63324516555555554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3"/>
      <c r="B40" s="13"/>
      <c r="C40" s="14"/>
      <c r="D40" s="113">
        <f t="shared" si="0"/>
        <v>0.63324516555555554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3"/>
      <c r="B41" s="13"/>
      <c r="C41" s="14"/>
      <c r="D41" s="113">
        <f t="shared" si="0"/>
        <v>0.63324516555555554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3"/>
      <c r="B42" s="13"/>
      <c r="C42" s="14"/>
      <c r="D42" s="113">
        <f t="shared" si="0"/>
        <v>0.63324516555555554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3"/>
      <c r="B43" s="13"/>
      <c r="C43" s="14"/>
      <c r="D43" s="113">
        <f t="shared" si="0"/>
        <v>0.63324516555555554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3"/>
      <c r="B44" s="13"/>
      <c r="C44" s="14"/>
      <c r="D44" s="113">
        <f t="shared" si="0"/>
        <v>0.63324516555555554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3"/>
      <c r="B45" s="13"/>
      <c r="C45" s="14"/>
      <c r="D45" s="113">
        <f t="shared" si="0"/>
        <v>0.63324516555555554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3"/>
      <c r="B46" s="13"/>
      <c r="C46" s="14"/>
      <c r="D46" s="113">
        <f t="shared" si="0"/>
        <v>0.63324516555555554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3"/>
      <c r="B47" s="13"/>
      <c r="C47" s="14"/>
      <c r="D47" s="113">
        <f t="shared" si="0"/>
        <v>0.63324516555555554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3"/>
      <c r="B48" s="13"/>
      <c r="C48" s="14"/>
      <c r="D48" s="113">
        <f t="shared" si="0"/>
        <v>0.63324516555555554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3"/>
      <c r="B49" s="13"/>
      <c r="C49" s="14"/>
      <c r="D49" s="113">
        <f t="shared" si="0"/>
        <v>0.63324516555555554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14"/>
      <c r="B50" s="115" t="s">
        <v>11</v>
      </c>
      <c r="C50" s="29">
        <f>SUM(C17:C49)</f>
        <v>17097619.469999999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16"/>
      <c r="B51" s="117" t="s">
        <v>12</v>
      </c>
      <c r="C51" s="118">
        <f>+C15-C50</f>
        <v>9902380.5300000012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14"/>
      <c r="B52" s="115" t="s">
        <v>13</v>
      </c>
      <c r="C52" s="119">
        <f>+C16-C50</f>
        <v>9902380.5300000012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4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4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4.2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4.2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4.2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4.2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4.2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4.2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4.2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4.2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4.2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4.2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4.2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4.2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4.2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4.2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4.2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4.2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4.2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4.2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4.2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4.2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4.2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4.2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4.2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4.2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</sheetData>
  <mergeCells count="5">
    <mergeCell ref="B1:C1"/>
    <mergeCell ref="B2:C2"/>
    <mergeCell ref="B5:C6"/>
    <mergeCell ref="B8:B9"/>
    <mergeCell ref="E26:G27"/>
  </mergeCells>
  <pageMargins left="0.25" right="0.25" top="0.75" bottom="0.75" header="0" footer="0"/>
  <pageSetup paperSize="5"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Y964"/>
  <sheetViews>
    <sheetView workbookViewId="0"/>
  </sheetViews>
  <sheetFormatPr baseColWidth="10" defaultColWidth="12.58203125" defaultRowHeight="15" customHeight="1"/>
  <cols>
    <col min="1" max="1" width="31" customWidth="1"/>
    <col min="2" max="3" width="12" customWidth="1"/>
    <col min="4" max="4" width="19.33203125" customWidth="1"/>
    <col min="5" max="5" width="14.08203125" customWidth="1"/>
    <col min="6" max="13" width="12" customWidth="1"/>
    <col min="14" max="16" width="16.58203125" customWidth="1"/>
  </cols>
  <sheetData>
    <row r="1" spans="1:25" ht="14">
      <c r="A1" s="123" t="s">
        <v>109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5" ht="14">
      <c r="A2" s="374" t="s">
        <v>234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3"/>
      <c r="Q2" s="123"/>
      <c r="R2" s="123"/>
      <c r="S2" s="123"/>
      <c r="T2" s="123"/>
      <c r="U2" s="123"/>
      <c r="V2" s="123"/>
      <c r="W2" s="123"/>
      <c r="X2" s="123"/>
      <c r="Y2" s="123"/>
    </row>
    <row r="3" spans="1:25" ht="14">
      <c r="A3" s="374" t="s">
        <v>106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3"/>
      <c r="Q3" s="123"/>
      <c r="R3" s="123"/>
      <c r="S3" s="123"/>
      <c r="T3" s="123"/>
      <c r="U3" s="123"/>
      <c r="V3" s="123"/>
      <c r="W3" s="123"/>
      <c r="X3" s="123"/>
      <c r="Y3" s="123"/>
    </row>
    <row r="4" spans="1:25" ht="14">
      <c r="A4" s="124" t="s">
        <v>0</v>
      </c>
      <c r="B4" s="375" t="s">
        <v>1</v>
      </c>
      <c r="C4" s="343"/>
      <c r="D4" s="26" t="s">
        <v>235</v>
      </c>
      <c r="E4" s="124" t="s">
        <v>236</v>
      </c>
      <c r="F4" s="125" t="s">
        <v>178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4">
      <c r="A5" s="127">
        <v>43671</v>
      </c>
      <c r="B5" s="376">
        <v>43885</v>
      </c>
      <c r="C5" s="343"/>
      <c r="D5" s="128">
        <v>44012</v>
      </c>
      <c r="E5" s="128">
        <v>44104</v>
      </c>
      <c r="F5" s="128">
        <v>44242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3"/>
      <c r="R5" s="123"/>
      <c r="S5" s="123"/>
      <c r="T5" s="123"/>
      <c r="U5" s="123"/>
      <c r="V5" s="123"/>
      <c r="W5" s="123"/>
      <c r="X5" s="123"/>
      <c r="Y5" s="123"/>
    </row>
    <row r="6" spans="1:25" ht="14">
      <c r="A6" s="377" t="s">
        <v>110</v>
      </c>
      <c r="B6" s="375" t="s">
        <v>134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129" t="s">
        <v>135</v>
      </c>
      <c r="O6" s="129" t="s">
        <v>113</v>
      </c>
      <c r="P6" s="129" t="s">
        <v>114</v>
      </c>
      <c r="Q6" s="123"/>
      <c r="R6" s="123"/>
      <c r="S6" s="123"/>
      <c r="T6" s="123"/>
      <c r="U6" s="123"/>
      <c r="V6" s="123"/>
      <c r="W6" s="123"/>
      <c r="X6" s="123"/>
      <c r="Y6" s="123"/>
    </row>
    <row r="7" spans="1:25" ht="14">
      <c r="A7" s="339"/>
      <c r="B7" s="378" t="s">
        <v>21</v>
      </c>
      <c r="C7" s="342"/>
      <c r="D7" s="342"/>
      <c r="E7" s="342"/>
      <c r="F7" s="342"/>
      <c r="G7" s="342"/>
      <c r="H7" s="343"/>
      <c r="I7" s="372" t="s">
        <v>237</v>
      </c>
      <c r="J7" s="342"/>
      <c r="K7" s="342"/>
      <c r="L7" s="342"/>
      <c r="M7" s="343"/>
      <c r="N7" s="130"/>
      <c r="O7" s="130"/>
      <c r="P7" s="130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14">
      <c r="A8" s="339"/>
      <c r="B8" s="131" t="s">
        <v>115</v>
      </c>
      <c r="C8" s="131" t="s">
        <v>136</v>
      </c>
      <c r="D8" s="131" t="s">
        <v>137</v>
      </c>
      <c r="E8" s="131" t="s">
        <v>117</v>
      </c>
      <c r="F8" s="132" t="s">
        <v>118</v>
      </c>
      <c r="G8" s="131" t="s">
        <v>119</v>
      </c>
      <c r="H8" s="131" t="s">
        <v>138</v>
      </c>
      <c r="I8" s="133" t="s">
        <v>115</v>
      </c>
      <c r="J8" s="133" t="s">
        <v>116</v>
      </c>
      <c r="K8" s="134" t="s">
        <v>118</v>
      </c>
      <c r="L8" s="133" t="s">
        <v>119</v>
      </c>
      <c r="M8" s="133" t="s">
        <v>138</v>
      </c>
      <c r="N8" s="130"/>
      <c r="O8" s="130"/>
      <c r="P8" s="130"/>
      <c r="Q8" s="123"/>
      <c r="R8" s="123"/>
      <c r="S8" s="123"/>
      <c r="T8" s="123"/>
      <c r="U8" s="123"/>
      <c r="V8" s="123"/>
      <c r="W8" s="123"/>
      <c r="X8" s="123"/>
      <c r="Y8" s="123"/>
    </row>
    <row r="9" spans="1:25" ht="14">
      <c r="A9" s="340"/>
      <c r="B9" s="131" t="s">
        <v>120</v>
      </c>
      <c r="C9" s="131" t="s">
        <v>121</v>
      </c>
      <c r="D9" s="131" t="s">
        <v>139</v>
      </c>
      <c r="E9" s="131" t="s">
        <v>122</v>
      </c>
      <c r="F9" s="131" t="s">
        <v>123</v>
      </c>
      <c r="G9" s="131" t="s">
        <v>124</v>
      </c>
      <c r="H9" s="131" t="s">
        <v>140</v>
      </c>
      <c r="I9" s="133" t="s">
        <v>238</v>
      </c>
      <c r="J9" s="133" t="s">
        <v>239</v>
      </c>
      <c r="K9" s="133" t="s">
        <v>240</v>
      </c>
      <c r="L9" s="133" t="s">
        <v>241</v>
      </c>
      <c r="M9" s="133" t="s">
        <v>242</v>
      </c>
      <c r="N9" s="130"/>
      <c r="O9" s="130"/>
      <c r="P9" s="130"/>
      <c r="Q9" s="123"/>
      <c r="R9" s="123"/>
      <c r="S9" s="123"/>
      <c r="T9" s="123"/>
      <c r="U9" s="123"/>
      <c r="V9" s="123"/>
      <c r="W9" s="123"/>
      <c r="X9" s="123"/>
      <c r="Y9" s="123"/>
    </row>
    <row r="10" spans="1:25" ht="14">
      <c r="A10" s="135" t="s">
        <v>5</v>
      </c>
      <c r="B10" s="136">
        <v>103000000</v>
      </c>
      <c r="C10" s="136">
        <v>30500000</v>
      </c>
      <c r="D10" s="136">
        <v>1500000</v>
      </c>
      <c r="E10" s="136">
        <v>23000000</v>
      </c>
      <c r="F10" s="136">
        <v>128000000</v>
      </c>
      <c r="G10" s="136">
        <v>16000000</v>
      </c>
      <c r="H10" s="136">
        <v>50000000</v>
      </c>
      <c r="I10" s="137">
        <f>B10*0.5</f>
        <v>51500000</v>
      </c>
      <c r="J10" s="137">
        <f>(C10+D10)*0.5</f>
        <v>16000000</v>
      </c>
      <c r="K10" s="137">
        <f t="shared" ref="K10:M10" si="0">F10*0.5</f>
        <v>64000000</v>
      </c>
      <c r="L10" s="137">
        <f t="shared" si="0"/>
        <v>8000000</v>
      </c>
      <c r="M10" s="137">
        <f t="shared" si="0"/>
        <v>25000000</v>
      </c>
      <c r="N10" s="138"/>
      <c r="O10" s="130"/>
      <c r="P10" s="130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5" ht="14">
      <c r="A11" s="139" t="s">
        <v>243</v>
      </c>
      <c r="B11" s="371">
        <f>B10+C10+D10+E10+F10+G10+H10</f>
        <v>352000000</v>
      </c>
      <c r="C11" s="342"/>
      <c r="D11" s="342"/>
      <c r="E11" s="342"/>
      <c r="F11" s="342"/>
      <c r="G11" s="342"/>
      <c r="H11" s="343"/>
      <c r="I11" s="372">
        <f>I10+J10+K10+L10+M10</f>
        <v>164500000</v>
      </c>
      <c r="J11" s="342"/>
      <c r="K11" s="342"/>
      <c r="L11" s="342"/>
      <c r="M11" s="343"/>
      <c r="N11" s="130"/>
      <c r="O11" s="130"/>
      <c r="P11" s="130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:25" ht="14">
      <c r="A12" s="139" t="s">
        <v>33</v>
      </c>
      <c r="B12" s="371">
        <f>B11+I11</f>
        <v>516500000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3"/>
      <c r="N12" s="130"/>
      <c r="O12" s="140">
        <f t="shared" ref="O12:O13" si="1">N12</f>
        <v>0</v>
      </c>
      <c r="P12" s="130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:25" ht="14">
      <c r="A13" s="141" t="s">
        <v>244</v>
      </c>
      <c r="B13" s="142">
        <v>25285346</v>
      </c>
      <c r="C13" s="142">
        <v>7130644</v>
      </c>
      <c r="D13" s="142">
        <v>1500000</v>
      </c>
      <c r="E13" s="142">
        <v>23000000</v>
      </c>
      <c r="F13" s="142">
        <v>15522235</v>
      </c>
      <c r="G13" s="142">
        <v>2275942</v>
      </c>
      <c r="H13" s="142">
        <v>0</v>
      </c>
      <c r="I13" s="143"/>
      <c r="J13" s="143"/>
      <c r="K13" s="143"/>
      <c r="L13" s="143"/>
      <c r="M13" s="143"/>
      <c r="N13" s="144">
        <f t="shared" ref="N13:N25" si="2">SUM(B13:M13)</f>
        <v>74714167</v>
      </c>
      <c r="O13" s="140">
        <f t="shared" si="1"/>
        <v>74714167</v>
      </c>
      <c r="P13" s="145">
        <f t="shared" ref="P13:P24" si="3">O13/$B$12</f>
        <v>0.14465472797676671</v>
      </c>
      <c r="Q13" s="146"/>
      <c r="R13" s="123"/>
      <c r="S13" s="123"/>
      <c r="T13" s="123"/>
      <c r="U13" s="123"/>
      <c r="V13" s="123"/>
      <c r="W13" s="123"/>
      <c r="X13" s="123"/>
      <c r="Y13" s="123"/>
    </row>
    <row r="14" spans="1:25" ht="14">
      <c r="A14" s="141" t="s">
        <v>245</v>
      </c>
      <c r="B14" s="142">
        <v>26146779</v>
      </c>
      <c r="C14" s="142">
        <v>10191740</v>
      </c>
      <c r="D14" s="142">
        <v>0</v>
      </c>
      <c r="E14" s="142">
        <v>0</v>
      </c>
      <c r="F14" s="142">
        <v>12606227</v>
      </c>
      <c r="G14" s="142">
        <v>4466180</v>
      </c>
      <c r="H14" s="142">
        <v>0</v>
      </c>
      <c r="I14" s="143"/>
      <c r="J14" s="143"/>
      <c r="K14" s="143"/>
      <c r="L14" s="143"/>
      <c r="M14" s="143"/>
      <c r="N14" s="144">
        <f t="shared" si="2"/>
        <v>53410926</v>
      </c>
      <c r="O14" s="140">
        <f t="shared" ref="O14:O24" si="4">O13+N14</f>
        <v>128125093</v>
      </c>
      <c r="P14" s="145">
        <f t="shared" si="3"/>
        <v>0.24806407163601163</v>
      </c>
      <c r="Q14" s="146"/>
      <c r="R14" s="123"/>
      <c r="S14" s="123"/>
      <c r="T14" s="123"/>
      <c r="U14" s="123"/>
      <c r="V14" s="123"/>
      <c r="W14" s="123"/>
      <c r="X14" s="123"/>
      <c r="Y14" s="123"/>
    </row>
    <row r="15" spans="1:25" ht="14">
      <c r="A15" s="141" t="s">
        <v>246</v>
      </c>
      <c r="B15" s="142">
        <v>31625228</v>
      </c>
      <c r="C15" s="142">
        <v>12508105</v>
      </c>
      <c r="D15" s="142">
        <v>0</v>
      </c>
      <c r="E15" s="142">
        <v>0</v>
      </c>
      <c r="F15" s="142">
        <v>12986370</v>
      </c>
      <c r="G15" s="142">
        <v>5479206</v>
      </c>
      <c r="H15" s="142">
        <v>35128402</v>
      </c>
      <c r="I15" s="143"/>
      <c r="J15" s="143"/>
      <c r="K15" s="143"/>
      <c r="L15" s="143"/>
      <c r="M15" s="143"/>
      <c r="N15" s="144">
        <f t="shared" si="2"/>
        <v>97727311</v>
      </c>
      <c r="O15" s="140">
        <f t="shared" si="4"/>
        <v>225852404</v>
      </c>
      <c r="P15" s="145">
        <f t="shared" si="3"/>
        <v>0.43727474152952567</v>
      </c>
      <c r="Q15" s="147">
        <v>97927311</v>
      </c>
      <c r="R15" s="147">
        <f>Q15-N15</f>
        <v>200000</v>
      </c>
      <c r="S15" s="123"/>
      <c r="T15" s="123"/>
      <c r="U15" s="123"/>
      <c r="V15" s="123"/>
      <c r="W15" s="123"/>
      <c r="X15" s="123"/>
      <c r="Y15" s="123"/>
    </row>
    <row r="16" spans="1:25" ht="14">
      <c r="A16" s="141" t="s">
        <v>247</v>
      </c>
      <c r="B16" s="142">
        <v>4536581</v>
      </c>
      <c r="C16" s="142">
        <v>521417</v>
      </c>
      <c r="D16" s="142"/>
      <c r="E16" s="142"/>
      <c r="F16" s="142">
        <v>4309707</v>
      </c>
      <c r="G16" s="142">
        <v>1418643</v>
      </c>
      <c r="H16" s="142"/>
      <c r="I16" s="143"/>
      <c r="J16" s="143"/>
      <c r="K16" s="143"/>
      <c r="L16" s="143"/>
      <c r="M16" s="143"/>
      <c r="N16" s="144">
        <f t="shared" si="2"/>
        <v>10786348</v>
      </c>
      <c r="O16" s="140">
        <f t="shared" si="4"/>
        <v>236638752</v>
      </c>
      <c r="P16" s="145">
        <f t="shared" si="3"/>
        <v>0.45815828073572118</v>
      </c>
      <c r="Q16" s="148">
        <v>2020</v>
      </c>
      <c r="R16" s="123"/>
      <c r="S16" s="123"/>
      <c r="T16" s="123"/>
      <c r="U16" s="123"/>
      <c r="V16" s="123"/>
      <c r="W16" s="123"/>
      <c r="X16" s="123"/>
      <c r="Y16" s="123"/>
    </row>
    <row r="17" spans="1:25" ht="14">
      <c r="A17" s="141" t="s">
        <v>248</v>
      </c>
      <c r="B17" s="142">
        <v>1793233</v>
      </c>
      <c r="C17" s="142">
        <v>148094</v>
      </c>
      <c r="D17" s="142"/>
      <c r="E17" s="142"/>
      <c r="F17" s="142">
        <v>7212458</v>
      </c>
      <c r="G17" s="142">
        <v>2360029</v>
      </c>
      <c r="H17" s="142"/>
      <c r="I17" s="143"/>
      <c r="J17" s="143">
        <f>2728802-148094</f>
        <v>2580708</v>
      </c>
      <c r="K17" s="143"/>
      <c r="L17" s="143"/>
      <c r="M17" s="143"/>
      <c r="N17" s="144">
        <f t="shared" si="2"/>
        <v>14094522</v>
      </c>
      <c r="O17" s="140">
        <f t="shared" si="4"/>
        <v>250733274</v>
      </c>
      <c r="P17" s="145">
        <f t="shared" si="3"/>
        <v>0.48544680348499514</v>
      </c>
      <c r="Q17" s="148">
        <v>2020</v>
      </c>
      <c r="R17" s="123"/>
      <c r="S17" s="123"/>
      <c r="T17" s="123"/>
      <c r="U17" s="123"/>
      <c r="V17" s="123"/>
      <c r="W17" s="123"/>
      <c r="X17" s="123"/>
      <c r="Y17" s="123"/>
    </row>
    <row r="18" spans="1:25" ht="14">
      <c r="A18" s="141" t="s">
        <v>249</v>
      </c>
      <c r="B18" s="142">
        <v>13612833</v>
      </c>
      <c r="C18" s="142"/>
      <c r="D18" s="142"/>
      <c r="E18" s="142"/>
      <c r="F18" s="142">
        <v>3230638</v>
      </c>
      <c r="G18" s="142"/>
      <c r="H18" s="142"/>
      <c r="I18" s="143">
        <v>1779624</v>
      </c>
      <c r="J18" s="143">
        <v>579140</v>
      </c>
      <c r="K18" s="143"/>
      <c r="L18" s="143">
        <v>379442</v>
      </c>
      <c r="M18" s="143"/>
      <c r="N18" s="144">
        <f t="shared" si="2"/>
        <v>19581677</v>
      </c>
      <c r="O18" s="140">
        <f t="shared" si="4"/>
        <v>270314951</v>
      </c>
      <c r="P18" s="145">
        <f t="shared" si="3"/>
        <v>0.5233590532429816</v>
      </c>
      <c r="Q18" s="123">
        <v>2020</v>
      </c>
      <c r="R18" s="123"/>
      <c r="S18" s="123"/>
      <c r="T18" s="123"/>
      <c r="U18" s="123"/>
      <c r="V18" s="123"/>
      <c r="W18" s="123"/>
      <c r="X18" s="123"/>
      <c r="Y18" s="123"/>
    </row>
    <row r="19" spans="1:25" ht="14">
      <c r="A19" s="141" t="s">
        <v>250</v>
      </c>
      <c r="B19" s="142"/>
      <c r="C19" s="142"/>
      <c r="D19" s="142"/>
      <c r="E19" s="142"/>
      <c r="F19" s="142">
        <v>30713661</v>
      </c>
      <c r="G19" s="142"/>
      <c r="H19" s="142"/>
      <c r="I19" s="143"/>
      <c r="J19" s="143"/>
      <c r="K19" s="143"/>
      <c r="L19" s="143"/>
      <c r="M19" s="143"/>
      <c r="N19" s="144">
        <f t="shared" si="2"/>
        <v>30713661</v>
      </c>
      <c r="O19" s="140">
        <f t="shared" si="4"/>
        <v>301028612</v>
      </c>
      <c r="P19" s="145">
        <f t="shared" si="3"/>
        <v>0.58282403097773472</v>
      </c>
      <c r="Q19" s="123">
        <v>2020</v>
      </c>
      <c r="R19" s="123"/>
      <c r="S19" s="123"/>
      <c r="T19" s="123"/>
      <c r="U19" s="123"/>
      <c r="V19" s="123"/>
      <c r="W19" s="123"/>
      <c r="X19" s="123"/>
      <c r="Y19" s="123"/>
    </row>
    <row r="20" spans="1:25" ht="14">
      <c r="A20" s="141" t="s">
        <v>251</v>
      </c>
      <c r="B20" s="142"/>
      <c r="C20" s="142"/>
      <c r="D20" s="142"/>
      <c r="E20" s="142"/>
      <c r="F20" s="149">
        <f>33999674-14871598</f>
        <v>19128076</v>
      </c>
      <c r="G20" s="142"/>
      <c r="H20" s="142">
        <v>14871598</v>
      </c>
      <c r="I20" s="143"/>
      <c r="J20" s="143"/>
      <c r="K20" s="143"/>
      <c r="L20" s="143"/>
      <c r="M20" s="143"/>
      <c r="N20" s="144">
        <f t="shared" si="2"/>
        <v>33999674</v>
      </c>
      <c r="O20" s="140">
        <f t="shared" si="4"/>
        <v>335028286</v>
      </c>
      <c r="P20" s="145">
        <f t="shared" si="3"/>
        <v>0.64865108615682476</v>
      </c>
      <c r="Q20" s="123">
        <v>2020</v>
      </c>
      <c r="R20" s="123"/>
      <c r="S20" s="123"/>
      <c r="T20" s="123"/>
      <c r="U20" s="123"/>
      <c r="V20" s="123"/>
      <c r="W20" s="123"/>
      <c r="X20" s="123"/>
      <c r="Y20" s="123"/>
    </row>
    <row r="21" spans="1:25" ht="14">
      <c r="A21" s="150" t="s">
        <v>252</v>
      </c>
      <c r="B21" s="142"/>
      <c r="C21" s="142"/>
      <c r="D21" s="142"/>
      <c r="E21" s="142"/>
      <c r="F21" s="142">
        <v>22290628</v>
      </c>
      <c r="G21" s="142"/>
      <c r="H21" s="142"/>
      <c r="I21" s="151">
        <v>2353616</v>
      </c>
      <c r="J21" s="152">
        <v>7659000</v>
      </c>
      <c r="K21" s="152">
        <v>16313405</v>
      </c>
      <c r="L21" s="152">
        <v>3050293</v>
      </c>
      <c r="M21" s="143"/>
      <c r="N21" s="144">
        <f t="shared" si="2"/>
        <v>51666942</v>
      </c>
      <c r="O21" s="140">
        <f t="shared" si="4"/>
        <v>386695228</v>
      </c>
      <c r="P21" s="145">
        <f t="shared" si="3"/>
        <v>0.74868388770571148</v>
      </c>
      <c r="Q21" s="123">
        <v>2020</v>
      </c>
      <c r="R21" s="123"/>
      <c r="S21" s="123"/>
      <c r="T21" s="123"/>
      <c r="U21" s="123"/>
      <c r="V21" s="123"/>
      <c r="W21" s="123"/>
      <c r="X21" s="123"/>
      <c r="Y21" s="123"/>
    </row>
    <row r="22" spans="1:25" ht="14">
      <c r="A22" s="141" t="s">
        <v>253</v>
      </c>
      <c r="B22" s="142"/>
      <c r="C22" s="142"/>
      <c r="D22" s="142"/>
      <c r="E22" s="142"/>
      <c r="F22" s="142"/>
      <c r="G22" s="142"/>
      <c r="H22" s="142"/>
      <c r="I22" s="143">
        <v>16615349</v>
      </c>
      <c r="J22" s="143">
        <v>5181152</v>
      </c>
      <c r="K22" s="143">
        <f>40525240-I22-J22-L22</f>
        <v>14158474</v>
      </c>
      <c r="L22" s="143">
        <v>4570265</v>
      </c>
      <c r="M22" s="143"/>
      <c r="N22" s="144">
        <f t="shared" si="2"/>
        <v>40525240</v>
      </c>
      <c r="O22" s="140">
        <f t="shared" si="4"/>
        <v>427220468</v>
      </c>
      <c r="P22" s="145">
        <f t="shared" si="3"/>
        <v>0.82714514617618584</v>
      </c>
      <c r="Q22" s="123">
        <v>2020</v>
      </c>
      <c r="R22" s="123"/>
      <c r="S22" s="123"/>
      <c r="T22" s="123"/>
      <c r="U22" s="123"/>
      <c r="V22" s="123"/>
      <c r="W22" s="123"/>
      <c r="X22" s="123"/>
      <c r="Y22" s="123"/>
    </row>
    <row r="23" spans="1:25" ht="14">
      <c r="A23" s="141" t="s">
        <v>254</v>
      </c>
      <c r="B23" s="142"/>
      <c r="C23" s="142"/>
      <c r="D23" s="142"/>
      <c r="E23" s="142"/>
      <c r="F23" s="142"/>
      <c r="G23" s="142"/>
      <c r="H23" s="142"/>
      <c r="I23" s="143">
        <v>30751411</v>
      </c>
      <c r="J23" s="143"/>
      <c r="K23" s="143">
        <v>33528121</v>
      </c>
      <c r="L23" s="143"/>
      <c r="M23" s="143">
        <f>82406657.55-I23-K23</f>
        <v>18127125.549999997</v>
      </c>
      <c r="N23" s="144">
        <f t="shared" si="2"/>
        <v>82406657.549999997</v>
      </c>
      <c r="O23" s="140">
        <f t="shared" si="4"/>
        <v>509627125.55000001</v>
      </c>
      <c r="P23" s="145">
        <f t="shared" si="3"/>
        <v>0.98669336989351408</v>
      </c>
      <c r="Q23" s="123">
        <v>2021</v>
      </c>
      <c r="R23" s="123"/>
      <c r="S23" s="123"/>
      <c r="T23" s="123"/>
      <c r="U23" s="123"/>
      <c r="V23" s="123"/>
      <c r="W23" s="123"/>
      <c r="X23" s="123"/>
      <c r="Y23" s="123"/>
    </row>
    <row r="24" spans="1:25" ht="14">
      <c r="A24" s="141" t="s">
        <v>255</v>
      </c>
      <c r="B24" s="153"/>
      <c r="C24" s="153"/>
      <c r="D24" s="153"/>
      <c r="E24" s="153"/>
      <c r="F24" s="153"/>
      <c r="G24" s="153"/>
      <c r="H24" s="153"/>
      <c r="I24" s="143"/>
      <c r="J24" s="143"/>
      <c r="K24" s="143"/>
      <c r="L24" s="143"/>
      <c r="M24" s="143">
        <v>6640839</v>
      </c>
      <c r="N24" s="144">
        <f t="shared" si="2"/>
        <v>6640839</v>
      </c>
      <c r="O24" s="140">
        <f t="shared" si="4"/>
        <v>516267964.55000001</v>
      </c>
      <c r="P24" s="145">
        <f t="shared" si="3"/>
        <v>0.99955075421103579</v>
      </c>
      <c r="Q24" s="123">
        <v>2021</v>
      </c>
      <c r="R24" s="123"/>
      <c r="S24" s="123"/>
      <c r="T24" s="123"/>
      <c r="U24" s="123"/>
      <c r="V24" s="123"/>
      <c r="W24" s="123"/>
      <c r="X24" s="123"/>
      <c r="Y24" s="123"/>
    </row>
    <row r="25" spans="1:25" ht="14">
      <c r="A25" s="139" t="s">
        <v>11</v>
      </c>
      <c r="B25" s="138">
        <f t="shared" ref="B25:M25" si="5">SUM(B13:B24)</f>
        <v>103000000</v>
      </c>
      <c r="C25" s="138">
        <f t="shared" si="5"/>
        <v>30500000</v>
      </c>
      <c r="D25" s="138">
        <f t="shared" si="5"/>
        <v>1500000</v>
      </c>
      <c r="E25" s="138">
        <f t="shared" si="5"/>
        <v>23000000</v>
      </c>
      <c r="F25" s="138">
        <f t="shared" si="5"/>
        <v>128000000</v>
      </c>
      <c r="G25" s="138">
        <f t="shared" si="5"/>
        <v>16000000</v>
      </c>
      <c r="H25" s="138">
        <f t="shared" si="5"/>
        <v>50000000</v>
      </c>
      <c r="I25" s="138">
        <f t="shared" si="5"/>
        <v>51500000</v>
      </c>
      <c r="J25" s="138">
        <f t="shared" si="5"/>
        <v>16000000</v>
      </c>
      <c r="K25" s="138">
        <f t="shared" si="5"/>
        <v>64000000</v>
      </c>
      <c r="L25" s="138">
        <f t="shared" si="5"/>
        <v>8000000</v>
      </c>
      <c r="M25" s="138">
        <f t="shared" si="5"/>
        <v>24767964.549999997</v>
      </c>
      <c r="N25" s="144">
        <f t="shared" si="2"/>
        <v>516267964.55000001</v>
      </c>
      <c r="O25" s="140"/>
      <c r="P25" s="140"/>
      <c r="Q25" s="123"/>
      <c r="R25" s="123"/>
      <c r="S25" s="123"/>
      <c r="T25" s="123"/>
      <c r="U25" s="123"/>
      <c r="V25" s="123"/>
      <c r="W25" s="123"/>
      <c r="X25" s="123"/>
      <c r="Y25" s="123"/>
    </row>
    <row r="26" spans="1:25" ht="14">
      <c r="A26" s="139" t="s">
        <v>256</v>
      </c>
      <c r="B26" s="138">
        <f t="shared" ref="B26:M26" si="6">B10-B25</f>
        <v>0</v>
      </c>
      <c r="C26" s="138">
        <f t="shared" si="6"/>
        <v>0</v>
      </c>
      <c r="D26" s="138">
        <f t="shared" si="6"/>
        <v>0</v>
      </c>
      <c r="E26" s="138">
        <f t="shared" si="6"/>
        <v>0</v>
      </c>
      <c r="F26" s="138">
        <f t="shared" si="6"/>
        <v>0</v>
      </c>
      <c r="G26" s="138">
        <f t="shared" si="6"/>
        <v>0</v>
      </c>
      <c r="H26" s="138">
        <f t="shared" si="6"/>
        <v>0</v>
      </c>
      <c r="I26" s="138">
        <f t="shared" si="6"/>
        <v>0</v>
      </c>
      <c r="J26" s="138">
        <f t="shared" si="6"/>
        <v>0</v>
      </c>
      <c r="K26" s="138">
        <f t="shared" si="6"/>
        <v>0</v>
      </c>
      <c r="L26" s="138">
        <f t="shared" si="6"/>
        <v>0</v>
      </c>
      <c r="M26" s="138">
        <f t="shared" si="6"/>
        <v>232035.45000000298</v>
      </c>
      <c r="N26" s="144"/>
      <c r="O26" s="140"/>
      <c r="P26" s="140"/>
      <c r="Q26" s="123"/>
      <c r="R26" s="123"/>
      <c r="S26" s="123"/>
      <c r="T26" s="123"/>
      <c r="U26" s="123"/>
      <c r="V26" s="123"/>
      <c r="W26" s="123"/>
      <c r="X26" s="123"/>
      <c r="Y26" s="123"/>
    </row>
    <row r="27" spans="1:25" ht="14">
      <c r="A27" s="139" t="s">
        <v>257</v>
      </c>
      <c r="B27" s="154">
        <f t="shared" ref="B27:C27" si="7">B26+I26</f>
        <v>0</v>
      </c>
      <c r="C27" s="154">
        <f t="shared" si="7"/>
        <v>0</v>
      </c>
      <c r="D27" s="154">
        <v>0</v>
      </c>
      <c r="E27" s="154">
        <v>0</v>
      </c>
      <c r="F27" s="154">
        <f t="shared" ref="F27:H27" si="8">F26+K26</f>
        <v>0</v>
      </c>
      <c r="G27" s="154">
        <f t="shared" si="8"/>
        <v>0</v>
      </c>
      <c r="H27" s="154">
        <f t="shared" si="8"/>
        <v>232035.45000000298</v>
      </c>
      <c r="I27" s="154"/>
      <c r="J27" s="154"/>
      <c r="K27" s="154"/>
      <c r="L27" s="154"/>
      <c r="M27" s="154"/>
      <c r="N27" s="155"/>
      <c r="O27" s="155">
        <v>516467965</v>
      </c>
      <c r="P27" s="123" t="s">
        <v>258</v>
      </c>
      <c r="Q27" s="123"/>
      <c r="R27" s="123"/>
      <c r="S27" s="123"/>
      <c r="T27" s="123"/>
      <c r="U27" s="123"/>
      <c r="V27" s="123"/>
      <c r="W27" s="123"/>
      <c r="X27" s="123"/>
      <c r="Y27" s="123"/>
    </row>
    <row r="28" spans="1:25" ht="14">
      <c r="A28" s="139" t="s">
        <v>13</v>
      </c>
      <c r="B28" s="373">
        <f>SUM(B26:M26)</f>
        <v>232035.45000000298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3"/>
      <c r="O28" s="155">
        <f>N25</f>
        <v>516267964.55000001</v>
      </c>
      <c r="P28" s="156" t="s">
        <v>259</v>
      </c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25" ht="14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20">
        <f>O27-O28</f>
        <v>200000.44999998808</v>
      </c>
      <c r="Q29" s="123"/>
      <c r="R29" s="123"/>
      <c r="S29" s="123"/>
      <c r="T29" s="123"/>
      <c r="U29" s="123"/>
      <c r="V29" s="123"/>
      <c r="W29" s="123"/>
      <c r="X29" s="123"/>
      <c r="Y29" s="123"/>
    </row>
    <row r="30" spans="1:25" ht="15" customHeight="1">
      <c r="A30" s="123"/>
      <c r="F30" s="157" t="s">
        <v>260</v>
      </c>
      <c r="M30" s="123"/>
      <c r="N30" s="123">
        <v>19581677</v>
      </c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</row>
    <row r="31" spans="1:25" ht="14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58">
        <f>B12-N25</f>
        <v>232035.44999998808</v>
      </c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</row>
    <row r="32" spans="1:25" ht="14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59">
        <v>1336323</v>
      </c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</row>
    <row r="33" spans="1:25" ht="14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59">
        <v>155372</v>
      </c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</row>
    <row r="34" spans="1:25" ht="14">
      <c r="A34" s="123"/>
      <c r="B34" s="123"/>
      <c r="C34" s="123"/>
      <c r="D34" s="123"/>
      <c r="E34" s="123"/>
      <c r="F34" s="159">
        <v>3325714</v>
      </c>
      <c r="G34" s="123"/>
      <c r="H34" s="123"/>
      <c r="I34" s="123"/>
      <c r="J34" s="123"/>
      <c r="K34" s="159">
        <v>1765925</v>
      </c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</row>
    <row r="35" spans="1:25" ht="14">
      <c r="A35" s="123"/>
      <c r="B35" s="123"/>
      <c r="C35" s="123"/>
      <c r="D35" s="123"/>
      <c r="E35" s="123"/>
      <c r="F35" s="160">
        <f>B28-F34</f>
        <v>-3093678.549999997</v>
      </c>
      <c r="H35" s="123"/>
      <c r="I35" s="123"/>
      <c r="J35" s="123"/>
      <c r="K35" s="159">
        <v>68094</v>
      </c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</row>
    <row r="36" spans="1:25" ht="14">
      <c r="A36" s="123"/>
      <c r="B36" s="123"/>
      <c r="C36" s="123"/>
      <c r="D36" s="123"/>
      <c r="E36" s="123"/>
      <c r="F36" s="123"/>
      <c r="H36" s="123"/>
      <c r="I36" s="123"/>
      <c r="J36" s="123"/>
      <c r="K36" s="159">
        <f>K32+K33+K34+K34+K35</f>
        <v>5091639</v>
      </c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</row>
    <row r="37" spans="1:25" ht="14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61">
        <f>B28-K36</f>
        <v>-4859603.549999997</v>
      </c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</row>
    <row r="38" spans="1:25" ht="14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</row>
    <row r="39" spans="1:25" ht="14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</row>
    <row r="40" spans="1:25" ht="14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</row>
    <row r="41" spans="1:25" ht="14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</row>
    <row r="42" spans="1:25" ht="14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</row>
    <row r="43" spans="1:25" ht="14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</row>
    <row r="44" spans="1:25" ht="14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</row>
    <row r="45" spans="1:25" ht="14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</row>
    <row r="46" spans="1:25" ht="14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</row>
    <row r="47" spans="1:25" ht="14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</row>
    <row r="48" spans="1:25" ht="14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</row>
    <row r="49" spans="1:25" ht="1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</row>
    <row r="50" spans="1:25" ht="14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</row>
    <row r="51" spans="1:25" ht="14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</row>
    <row r="52" spans="1:25" ht="1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</row>
    <row r="53" spans="1:25" ht="14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</row>
    <row r="54" spans="1:25" ht="14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</row>
    <row r="55" spans="1:25" ht="14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</row>
    <row r="56" spans="1:25" ht="14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</row>
    <row r="57" spans="1:25" ht="14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</row>
    <row r="58" spans="1:25" ht="14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</row>
    <row r="59" spans="1:25" ht="1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</row>
    <row r="60" spans="1:25" ht="14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</row>
    <row r="61" spans="1:25" ht="14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</row>
    <row r="62" spans="1:25" ht="14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</row>
    <row r="63" spans="1:25" ht="14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</row>
    <row r="64" spans="1:25" ht="14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</row>
    <row r="65" spans="1:25" ht="14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</row>
    <row r="66" spans="1:25" ht="14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</row>
    <row r="67" spans="1:25" ht="14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</row>
    <row r="68" spans="1:25" ht="14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</row>
    <row r="69" spans="1:25" ht="14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</row>
    <row r="70" spans="1:25" ht="14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</row>
    <row r="71" spans="1:25" ht="14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</row>
    <row r="72" spans="1:25" ht="14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</row>
    <row r="73" spans="1:25" ht="14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</row>
    <row r="74" spans="1:25" ht="14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</row>
    <row r="75" spans="1:25" ht="14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</row>
    <row r="76" spans="1:25" ht="14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</row>
    <row r="77" spans="1:25" ht="14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</row>
    <row r="78" spans="1:25" ht="14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</row>
    <row r="79" spans="1:25" ht="14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</row>
    <row r="80" spans="1:25" ht="14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</row>
    <row r="81" spans="1:25" ht="14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1:25" ht="14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</row>
    <row r="83" spans="1:25" ht="14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</row>
    <row r="84" spans="1:25" ht="14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</row>
    <row r="85" spans="1:25" ht="14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</row>
    <row r="86" spans="1:25" ht="14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</row>
    <row r="87" spans="1:25" ht="14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</row>
    <row r="88" spans="1:25" ht="14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</row>
    <row r="89" spans="1:25" ht="14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</row>
    <row r="90" spans="1:25" ht="14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</row>
    <row r="91" spans="1:25" ht="14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</row>
    <row r="92" spans="1:25" ht="14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</row>
    <row r="93" spans="1:25" ht="14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</row>
    <row r="94" spans="1:25" ht="14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</row>
    <row r="95" spans="1:25" ht="14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</row>
    <row r="96" spans="1:25" ht="14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</row>
    <row r="97" spans="1:25" ht="14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</row>
    <row r="98" spans="1:25" ht="14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</row>
    <row r="99" spans="1:25" ht="14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</row>
    <row r="100" spans="1:25" ht="14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</row>
    <row r="101" spans="1:25" ht="14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</row>
    <row r="102" spans="1:25" ht="14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</row>
    <row r="103" spans="1:25" ht="14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</row>
    <row r="104" spans="1:25" ht="14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</row>
    <row r="105" spans="1:25" ht="14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</row>
    <row r="106" spans="1:25" ht="14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</row>
    <row r="107" spans="1:25" ht="14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ht="14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ht="14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</row>
    <row r="110" spans="1:25" ht="14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</row>
    <row r="111" spans="1:25" ht="14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</row>
    <row r="112" spans="1:25" ht="14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</row>
    <row r="113" spans="1:25" ht="14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</row>
    <row r="114" spans="1:25" ht="14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</row>
    <row r="115" spans="1:25" ht="14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</row>
    <row r="116" spans="1:25" ht="14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</row>
    <row r="117" spans="1:25" ht="14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</row>
    <row r="118" spans="1:25" ht="14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</row>
    <row r="119" spans="1:25" ht="14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</row>
    <row r="120" spans="1:25" ht="14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</row>
    <row r="121" spans="1:25" ht="14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</row>
    <row r="122" spans="1:25" ht="14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</row>
    <row r="123" spans="1:25" ht="14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</row>
    <row r="124" spans="1:25" ht="14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</row>
    <row r="125" spans="1:25" ht="14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</row>
    <row r="126" spans="1:25" ht="14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</row>
    <row r="127" spans="1:25" ht="14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</row>
    <row r="128" spans="1:25" ht="14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</row>
    <row r="129" spans="1:25" ht="14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</row>
    <row r="130" spans="1:25" ht="14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</row>
    <row r="131" spans="1:25" ht="14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</row>
    <row r="132" spans="1:25" ht="14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</row>
    <row r="133" spans="1:25" ht="14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</row>
    <row r="134" spans="1:25" ht="14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</row>
    <row r="135" spans="1:25" ht="14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</row>
    <row r="136" spans="1:25" ht="14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</row>
    <row r="137" spans="1:25" ht="14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</row>
    <row r="138" spans="1:25" ht="14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</row>
    <row r="139" spans="1:25" ht="14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</row>
    <row r="140" spans="1:25" ht="14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</row>
    <row r="141" spans="1:25" ht="14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</row>
    <row r="142" spans="1:25" ht="14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</row>
    <row r="143" spans="1:25" ht="14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</row>
    <row r="144" spans="1:25" ht="14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</row>
    <row r="145" spans="1:25" ht="14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</row>
    <row r="146" spans="1:25" ht="14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</row>
    <row r="147" spans="1:25" ht="14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</row>
    <row r="148" spans="1:25" ht="14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</row>
    <row r="149" spans="1:25" ht="14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</row>
    <row r="150" spans="1:25" ht="14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</row>
    <row r="151" spans="1:25" ht="14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</row>
    <row r="152" spans="1:25" ht="14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</row>
    <row r="153" spans="1:25" ht="14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</row>
    <row r="154" spans="1:25" ht="14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</row>
    <row r="155" spans="1:25" ht="14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</row>
    <row r="156" spans="1:25" ht="14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</row>
    <row r="157" spans="1:25" ht="14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</row>
    <row r="158" spans="1:25" ht="14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</row>
    <row r="159" spans="1:25" ht="14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</row>
    <row r="160" spans="1:25" ht="14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</row>
    <row r="161" spans="1:25" ht="14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</row>
    <row r="162" spans="1:25" ht="14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</row>
    <row r="163" spans="1:25" ht="14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</row>
    <row r="164" spans="1:25" ht="14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</row>
    <row r="165" spans="1:25" ht="14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</row>
    <row r="166" spans="1:25" ht="14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</row>
    <row r="167" spans="1:25" ht="14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</row>
    <row r="168" spans="1:25" ht="14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</row>
    <row r="169" spans="1:25" ht="14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</row>
    <row r="170" spans="1:25" ht="14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</row>
    <row r="171" spans="1:25" ht="14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</row>
    <row r="172" spans="1:25" ht="14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</row>
    <row r="173" spans="1:25" ht="14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</row>
    <row r="174" spans="1:25" ht="14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</row>
    <row r="175" spans="1:25" ht="14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</row>
    <row r="176" spans="1:25" ht="14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</row>
    <row r="177" spans="1:25" ht="14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</row>
    <row r="178" spans="1:25" ht="14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</row>
    <row r="179" spans="1:25" ht="14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</row>
    <row r="180" spans="1:25" ht="14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</row>
    <row r="181" spans="1:25" ht="14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</row>
    <row r="182" spans="1:25" ht="14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</row>
    <row r="183" spans="1:25" ht="14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</row>
    <row r="184" spans="1:25" ht="14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</row>
    <row r="185" spans="1:25" ht="14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</row>
    <row r="186" spans="1:25" ht="14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</row>
    <row r="187" spans="1:25" ht="14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</row>
    <row r="188" spans="1:25" ht="14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</row>
    <row r="189" spans="1:25" ht="14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</row>
    <row r="190" spans="1:25" ht="14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</row>
    <row r="191" spans="1:25" ht="14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</row>
    <row r="192" spans="1:25" ht="14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</row>
    <row r="193" spans="1:25" ht="14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</row>
    <row r="194" spans="1:25" ht="14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</row>
    <row r="195" spans="1:25" ht="14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</row>
    <row r="196" spans="1:25" ht="14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</row>
    <row r="197" spans="1:25" ht="14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</row>
    <row r="198" spans="1:25" ht="14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</row>
    <row r="199" spans="1:25" ht="14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</row>
    <row r="200" spans="1:25" ht="14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</row>
    <row r="201" spans="1:25" ht="14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</row>
    <row r="202" spans="1:25" ht="14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</row>
    <row r="203" spans="1:25" ht="14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</row>
    <row r="204" spans="1:25" ht="14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</row>
    <row r="205" spans="1:25" ht="14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</row>
    <row r="206" spans="1:25" ht="14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</row>
    <row r="207" spans="1:25" ht="14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</row>
    <row r="208" spans="1:25" ht="14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</row>
    <row r="209" spans="1:25" ht="14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</row>
    <row r="210" spans="1:25" ht="14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</row>
    <row r="211" spans="1:25" ht="14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</row>
    <row r="212" spans="1:25" ht="14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</row>
    <row r="213" spans="1:25" ht="14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</row>
    <row r="214" spans="1:25" ht="14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</row>
    <row r="215" spans="1:25" ht="14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</row>
    <row r="216" spans="1:25" ht="14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</row>
    <row r="217" spans="1:25" ht="14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</row>
    <row r="218" spans="1:25" ht="14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</row>
    <row r="219" spans="1:25" ht="14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</row>
    <row r="220" spans="1:25" ht="14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</row>
    <row r="221" spans="1:25" ht="14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</row>
    <row r="222" spans="1:25" ht="14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</row>
    <row r="223" spans="1:25" ht="14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</row>
    <row r="224" spans="1:25" ht="14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</row>
    <row r="225" spans="1:25" ht="14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</row>
    <row r="226" spans="1:25" ht="14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</row>
    <row r="227" spans="1:25" ht="14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</row>
    <row r="228" spans="1:25" ht="14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</row>
    <row r="229" spans="1:25" ht="14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</row>
    <row r="230" spans="1:25" ht="14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</row>
    <row r="231" spans="1:25" ht="14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</row>
    <row r="232" spans="1:25" ht="14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</row>
    <row r="233" spans="1:25" ht="14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</row>
    <row r="234" spans="1:25" ht="14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</row>
    <row r="235" spans="1:25" ht="14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</row>
    <row r="236" spans="1:25" ht="14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</row>
    <row r="237" spans="1:25" ht="14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</row>
    <row r="238" spans="1:25" ht="14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</row>
    <row r="239" spans="1:25" ht="14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</row>
    <row r="240" spans="1:25" ht="14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</row>
    <row r="241" spans="1:25" ht="14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</row>
    <row r="242" spans="1:25" ht="14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</row>
    <row r="243" spans="1:25" ht="14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</row>
    <row r="244" spans="1:25" ht="14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</row>
    <row r="245" spans="1:25" ht="14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</row>
    <row r="246" spans="1:25" ht="14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</row>
    <row r="247" spans="1:25" ht="14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</row>
    <row r="248" spans="1:25" ht="14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</row>
    <row r="249" spans="1:25" ht="14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</row>
    <row r="250" spans="1:25" ht="14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</row>
    <row r="251" spans="1:25" ht="14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</row>
    <row r="252" spans="1:25" ht="14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</row>
    <row r="253" spans="1:25" ht="14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</row>
    <row r="254" spans="1:25" ht="14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</row>
    <row r="255" spans="1:25" ht="14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</row>
    <row r="256" spans="1:25" ht="14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</row>
    <row r="257" spans="1:25" ht="14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</row>
    <row r="258" spans="1:25" ht="14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</row>
    <row r="259" spans="1:25" ht="14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</row>
    <row r="260" spans="1:25" ht="14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</row>
    <row r="261" spans="1:25" ht="14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</row>
    <row r="262" spans="1:25" ht="14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</row>
    <row r="263" spans="1:25" ht="14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</row>
    <row r="264" spans="1:25" ht="14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</row>
    <row r="265" spans="1:25" ht="14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</row>
    <row r="266" spans="1:25" ht="14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</row>
    <row r="267" spans="1:25" ht="14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</row>
    <row r="268" spans="1:25" ht="14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</row>
    <row r="269" spans="1:25" ht="14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</row>
    <row r="270" spans="1:25" ht="14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</row>
    <row r="271" spans="1:25" ht="14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</row>
    <row r="272" spans="1:25" ht="14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</row>
    <row r="273" spans="1:25" ht="14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</row>
    <row r="274" spans="1:25" ht="14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</row>
    <row r="275" spans="1:25" ht="14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</row>
    <row r="276" spans="1:25" ht="14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</row>
    <row r="277" spans="1:25" ht="14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</row>
    <row r="278" spans="1:25" ht="14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</row>
    <row r="279" spans="1:25" ht="14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</row>
    <row r="280" spans="1:25" ht="14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</row>
    <row r="281" spans="1:25" ht="14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</row>
    <row r="282" spans="1:25" ht="14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</row>
    <row r="283" spans="1:25" ht="14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</row>
    <row r="284" spans="1:25" ht="14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</row>
    <row r="285" spans="1:25" ht="14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</row>
    <row r="286" spans="1:25" ht="14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</row>
    <row r="287" spans="1:25" ht="14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</row>
    <row r="288" spans="1:25" ht="14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</row>
    <row r="289" spans="1:25" ht="14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</row>
    <row r="290" spans="1:25" ht="14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</row>
    <row r="291" spans="1:25" ht="14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</row>
    <row r="292" spans="1:25" ht="14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</row>
    <row r="293" spans="1:25" ht="14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</row>
    <row r="294" spans="1:25" ht="14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</row>
    <row r="295" spans="1:25" ht="14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</row>
    <row r="296" spans="1:25" ht="14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</row>
    <row r="297" spans="1:25" ht="14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</row>
    <row r="298" spans="1:25" ht="14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</row>
    <row r="299" spans="1:25" ht="14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</row>
    <row r="300" spans="1:25" ht="14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</row>
    <row r="301" spans="1:25" ht="14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</row>
    <row r="302" spans="1:25" ht="14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</row>
    <row r="303" spans="1:25" ht="14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</row>
    <row r="304" spans="1:25" ht="14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</row>
    <row r="305" spans="1:25" ht="14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</row>
    <row r="306" spans="1:25" ht="14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</row>
    <row r="307" spans="1:25" ht="14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</row>
    <row r="308" spans="1:25" ht="14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</row>
    <row r="309" spans="1:25" ht="14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</row>
    <row r="310" spans="1:25" ht="14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</row>
    <row r="311" spans="1:25" ht="14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</row>
    <row r="312" spans="1:25" ht="14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</row>
    <row r="313" spans="1:25" ht="14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</row>
    <row r="314" spans="1:25" ht="14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</row>
    <row r="315" spans="1:25" ht="14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</row>
    <row r="316" spans="1:25" ht="14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</row>
    <row r="317" spans="1:25" ht="14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</row>
    <row r="318" spans="1:25" ht="14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</row>
    <row r="319" spans="1:25" ht="14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</row>
    <row r="320" spans="1:25" ht="14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</row>
    <row r="321" spans="1:25" ht="14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</row>
    <row r="322" spans="1:25" ht="14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</row>
    <row r="323" spans="1:25" ht="14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</row>
    <row r="324" spans="1:25" ht="14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</row>
    <row r="325" spans="1:25" ht="14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</row>
    <row r="326" spans="1:25" ht="14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</row>
    <row r="327" spans="1:25" ht="14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</row>
    <row r="328" spans="1:25" ht="14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</row>
    <row r="329" spans="1:25" ht="14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</row>
    <row r="330" spans="1:25" ht="14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</row>
    <row r="331" spans="1:25" ht="14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</row>
    <row r="332" spans="1:25" ht="14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</row>
    <row r="333" spans="1:25" ht="14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</row>
    <row r="334" spans="1:25" ht="14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</row>
    <row r="335" spans="1:25" ht="14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</row>
    <row r="336" spans="1:25" ht="14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</row>
    <row r="337" spans="1:25" ht="14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</row>
    <row r="338" spans="1:25" ht="14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</row>
    <row r="339" spans="1:25" ht="14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</row>
    <row r="340" spans="1:25" ht="14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</row>
    <row r="341" spans="1:25" ht="14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</row>
    <row r="342" spans="1:25" ht="14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</row>
    <row r="343" spans="1:25" ht="14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</row>
    <row r="344" spans="1:25" ht="14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</row>
    <row r="345" spans="1:25" ht="14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</row>
    <row r="346" spans="1:25" ht="14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</row>
    <row r="347" spans="1:25" ht="14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</row>
    <row r="348" spans="1:25" ht="14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</row>
    <row r="349" spans="1:25" ht="14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</row>
    <row r="350" spans="1:25" ht="14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</row>
    <row r="351" spans="1:25" ht="14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</row>
    <row r="352" spans="1:25" ht="14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</row>
    <row r="353" spans="1:25" ht="14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</row>
    <row r="354" spans="1:25" ht="14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</row>
    <row r="355" spans="1:25" ht="14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</row>
    <row r="356" spans="1:25" ht="14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</row>
    <row r="357" spans="1:25" ht="14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</row>
    <row r="358" spans="1:25" ht="14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</row>
    <row r="359" spans="1:25" ht="14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</row>
    <row r="360" spans="1:25" ht="14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</row>
    <row r="361" spans="1:25" ht="14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</row>
    <row r="362" spans="1:25" ht="14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</row>
    <row r="363" spans="1:25" ht="14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</row>
    <row r="364" spans="1:25" ht="14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</row>
    <row r="365" spans="1:25" ht="14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</row>
    <row r="366" spans="1:25" ht="14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</row>
    <row r="367" spans="1:25" ht="14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</row>
    <row r="368" spans="1:25" ht="14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</row>
    <row r="369" spans="1:25" ht="14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</row>
    <row r="370" spans="1:25" ht="14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</row>
    <row r="371" spans="1:25" ht="14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</row>
    <row r="372" spans="1:25" ht="14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</row>
    <row r="373" spans="1:25" ht="14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</row>
    <row r="374" spans="1:25" ht="14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</row>
    <row r="375" spans="1:25" ht="14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</row>
    <row r="376" spans="1:25" ht="14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</row>
    <row r="377" spans="1:25" ht="14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</row>
    <row r="378" spans="1:25" ht="14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</row>
    <row r="379" spans="1:25" ht="14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</row>
    <row r="380" spans="1:25" ht="14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</row>
    <row r="381" spans="1:25" ht="14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</row>
    <row r="382" spans="1:25" ht="14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</row>
    <row r="383" spans="1:25" ht="14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</row>
    <row r="384" spans="1:25" ht="14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</row>
    <row r="385" spans="1:25" ht="14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</row>
    <row r="386" spans="1:25" ht="14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</row>
    <row r="387" spans="1:25" ht="14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</row>
    <row r="388" spans="1:25" ht="14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</row>
    <row r="389" spans="1:25" ht="14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</row>
    <row r="390" spans="1:25" ht="14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</row>
    <row r="391" spans="1:25" ht="14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</row>
    <row r="392" spans="1:25" ht="14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</row>
    <row r="393" spans="1:25" ht="14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</row>
    <row r="394" spans="1:25" ht="14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</row>
    <row r="395" spans="1:25" ht="14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</row>
    <row r="396" spans="1:25" ht="14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</row>
    <row r="397" spans="1:25" ht="14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</row>
    <row r="398" spans="1:25" ht="14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</row>
    <row r="399" spans="1:25" ht="14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</row>
    <row r="400" spans="1:25" ht="14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</row>
    <row r="401" spans="1:25" ht="14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</row>
    <row r="402" spans="1:25" ht="14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</row>
    <row r="403" spans="1:25" ht="14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</row>
    <row r="404" spans="1:25" ht="14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</row>
    <row r="405" spans="1:25" ht="14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</row>
    <row r="406" spans="1:25" ht="14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</row>
    <row r="407" spans="1:25" ht="14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</row>
    <row r="408" spans="1:25" ht="14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</row>
    <row r="409" spans="1:25" ht="14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</row>
    <row r="410" spans="1:25" ht="14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</row>
    <row r="411" spans="1:25" ht="14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</row>
    <row r="412" spans="1:25" ht="14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</row>
    <row r="413" spans="1:25" ht="14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</row>
    <row r="414" spans="1:25" ht="14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</row>
    <row r="415" spans="1:25" ht="14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</row>
    <row r="416" spans="1:25" ht="14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</row>
    <row r="417" spans="1:25" ht="14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</row>
    <row r="418" spans="1:25" ht="14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</row>
    <row r="419" spans="1:25" ht="14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</row>
    <row r="420" spans="1:25" ht="14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</row>
    <row r="421" spans="1:25" ht="14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</row>
    <row r="422" spans="1:25" ht="14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</row>
    <row r="423" spans="1:25" ht="14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</row>
    <row r="424" spans="1:25" ht="14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</row>
    <row r="425" spans="1:25" ht="14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</row>
    <row r="426" spans="1:25" ht="14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</row>
    <row r="427" spans="1:25" ht="14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</row>
    <row r="428" spans="1:25" ht="14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</row>
    <row r="429" spans="1:25" ht="14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</row>
    <row r="430" spans="1:25" ht="14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</row>
    <row r="431" spans="1:25" ht="14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</row>
    <row r="432" spans="1:25" ht="14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</row>
    <row r="433" spans="1:25" ht="14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</row>
    <row r="434" spans="1:25" ht="14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</row>
    <row r="435" spans="1:25" ht="14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</row>
    <row r="436" spans="1:25" ht="14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</row>
    <row r="437" spans="1:25" ht="14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</row>
    <row r="438" spans="1:25" ht="14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</row>
    <row r="439" spans="1:25" ht="14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</row>
    <row r="440" spans="1:25" ht="14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</row>
    <row r="441" spans="1:25" ht="14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</row>
    <row r="442" spans="1:25" ht="14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</row>
    <row r="443" spans="1:25" ht="14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</row>
    <row r="444" spans="1:25" ht="14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</row>
    <row r="445" spans="1:25" ht="14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</row>
    <row r="446" spans="1:25" ht="14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</row>
    <row r="447" spans="1:25" ht="14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</row>
    <row r="448" spans="1:25" ht="14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</row>
    <row r="449" spans="1:25" ht="14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</row>
    <row r="450" spans="1:25" ht="14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</row>
    <row r="451" spans="1:25" ht="14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</row>
    <row r="452" spans="1:25" ht="14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</row>
    <row r="453" spans="1:25" ht="14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</row>
    <row r="454" spans="1:25" ht="14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</row>
    <row r="455" spans="1:25" ht="14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</row>
    <row r="456" spans="1:25" ht="14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</row>
    <row r="457" spans="1:25" ht="14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</row>
    <row r="458" spans="1:25" ht="14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</row>
    <row r="459" spans="1:25" ht="14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</row>
    <row r="460" spans="1:25" ht="14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</row>
    <row r="461" spans="1:25" ht="14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</row>
    <row r="462" spans="1:25" ht="14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</row>
    <row r="463" spans="1:25" ht="14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</row>
    <row r="464" spans="1:25" ht="14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</row>
    <row r="465" spans="1:25" ht="14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</row>
    <row r="466" spans="1:25" ht="14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</row>
    <row r="467" spans="1:25" ht="14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</row>
    <row r="468" spans="1:25" ht="14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</row>
    <row r="469" spans="1:25" ht="14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</row>
    <row r="470" spans="1:25" ht="14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</row>
    <row r="471" spans="1:25" ht="14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</row>
    <row r="472" spans="1:25" ht="14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</row>
    <row r="473" spans="1:25" ht="14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</row>
    <row r="474" spans="1:25" ht="14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</row>
    <row r="475" spans="1:25" ht="14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</row>
    <row r="476" spans="1:25" ht="14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</row>
    <row r="477" spans="1:25" ht="14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</row>
    <row r="478" spans="1:25" ht="14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</row>
    <row r="479" spans="1:25" ht="14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</row>
    <row r="480" spans="1:25" ht="14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</row>
    <row r="481" spans="1:25" ht="14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</row>
    <row r="482" spans="1:25" ht="14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</row>
    <row r="483" spans="1:25" ht="14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</row>
    <row r="484" spans="1:25" ht="14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</row>
    <row r="485" spans="1:25" ht="14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</row>
    <row r="486" spans="1:25" ht="14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</row>
    <row r="487" spans="1:25" ht="14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</row>
    <row r="488" spans="1:25" ht="14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</row>
    <row r="489" spans="1:25" ht="14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</row>
    <row r="490" spans="1:25" ht="14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</row>
    <row r="491" spans="1:25" ht="14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</row>
    <row r="492" spans="1:25" ht="14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</row>
    <row r="493" spans="1:25" ht="14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</row>
    <row r="494" spans="1:25" ht="14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</row>
    <row r="495" spans="1:25" ht="14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</row>
    <row r="496" spans="1:25" ht="14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</row>
    <row r="497" spans="1:25" ht="14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</row>
    <row r="498" spans="1:25" ht="14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</row>
    <row r="499" spans="1:25" ht="14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</row>
    <row r="500" spans="1:25" ht="14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</row>
    <row r="501" spans="1:25" ht="14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</row>
    <row r="502" spans="1:25" ht="14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</row>
    <row r="503" spans="1:25" ht="14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</row>
    <row r="504" spans="1:25" ht="14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</row>
    <row r="505" spans="1:25" ht="14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</row>
    <row r="506" spans="1:25" ht="14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</row>
    <row r="507" spans="1:25" ht="14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</row>
    <row r="508" spans="1:25" ht="14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</row>
    <row r="509" spans="1:25" ht="14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</row>
    <row r="510" spans="1:25" ht="14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</row>
    <row r="511" spans="1:25" ht="14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</row>
    <row r="512" spans="1:25" ht="14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</row>
    <row r="513" spans="1:25" ht="14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</row>
    <row r="514" spans="1:25" ht="14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</row>
    <row r="515" spans="1:25" ht="14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</row>
    <row r="516" spans="1:25" ht="14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</row>
    <row r="517" spans="1:25" ht="14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</row>
    <row r="518" spans="1:25" ht="14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</row>
    <row r="519" spans="1:25" ht="14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</row>
    <row r="520" spans="1:25" ht="14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</row>
    <row r="521" spans="1:25" ht="14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</row>
    <row r="522" spans="1:25" ht="14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</row>
    <row r="523" spans="1:25" ht="14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</row>
    <row r="524" spans="1:25" ht="14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</row>
    <row r="525" spans="1:25" ht="14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</row>
    <row r="526" spans="1:25" ht="14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</row>
    <row r="527" spans="1:25" ht="14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</row>
    <row r="528" spans="1:25" ht="14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</row>
    <row r="529" spans="1:25" ht="14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</row>
    <row r="530" spans="1:25" ht="14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</row>
    <row r="531" spans="1:25" ht="14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</row>
    <row r="532" spans="1:25" ht="14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</row>
    <row r="533" spans="1:25" ht="14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</row>
    <row r="534" spans="1:25" ht="14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</row>
    <row r="535" spans="1:25" ht="14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</row>
    <row r="536" spans="1:25" ht="14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</row>
    <row r="537" spans="1:25" ht="14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</row>
    <row r="538" spans="1:25" ht="14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</row>
    <row r="539" spans="1:25" ht="14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</row>
    <row r="540" spans="1:25" ht="14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</row>
    <row r="541" spans="1:25" ht="14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</row>
    <row r="542" spans="1:25" ht="14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</row>
    <row r="543" spans="1:25" ht="14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</row>
    <row r="544" spans="1:25" ht="14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</row>
    <row r="545" spans="1:25" ht="14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</row>
    <row r="546" spans="1:25" ht="14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</row>
    <row r="547" spans="1:25" ht="14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</row>
    <row r="548" spans="1:25" ht="14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</row>
    <row r="549" spans="1:25" ht="14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</row>
    <row r="550" spans="1:25" ht="14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</row>
    <row r="551" spans="1:25" ht="14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</row>
    <row r="552" spans="1:25" ht="14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</row>
    <row r="553" spans="1:25" ht="14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</row>
    <row r="554" spans="1:25" ht="14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</row>
    <row r="555" spans="1:25" ht="14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</row>
    <row r="556" spans="1:25" ht="14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</row>
    <row r="557" spans="1:25" ht="14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</row>
    <row r="558" spans="1:25" ht="14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</row>
    <row r="559" spans="1:25" ht="14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</row>
    <row r="560" spans="1:25" ht="14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</row>
    <row r="561" spans="1:25" ht="14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</row>
    <row r="562" spans="1:25" ht="14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</row>
    <row r="563" spans="1:25" ht="14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</row>
    <row r="564" spans="1:25" ht="14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</row>
    <row r="565" spans="1:25" ht="14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</row>
    <row r="566" spans="1:25" ht="14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</row>
    <row r="567" spans="1:25" ht="14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</row>
    <row r="568" spans="1:25" ht="14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</row>
    <row r="569" spans="1:25" ht="14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</row>
    <row r="570" spans="1:25" ht="14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</row>
    <row r="571" spans="1:25" ht="14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</row>
    <row r="572" spans="1:25" ht="14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</row>
    <row r="573" spans="1:25" ht="14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</row>
    <row r="574" spans="1:25" ht="14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</row>
    <row r="575" spans="1:25" ht="14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</row>
    <row r="576" spans="1:25" ht="14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</row>
    <row r="577" spans="1:25" ht="14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</row>
    <row r="578" spans="1:25" ht="14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</row>
    <row r="579" spans="1:25" ht="14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</row>
    <row r="580" spans="1:25" ht="14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</row>
    <row r="581" spans="1:25" ht="14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</row>
    <row r="582" spans="1:25" ht="14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</row>
    <row r="583" spans="1:25" ht="14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</row>
    <row r="584" spans="1:25" ht="14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</row>
    <row r="585" spans="1:25" ht="14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</row>
    <row r="586" spans="1:25" ht="14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</row>
    <row r="587" spans="1:25" ht="14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</row>
    <row r="588" spans="1:25" ht="14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</row>
    <row r="589" spans="1:25" ht="14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</row>
    <row r="590" spans="1:25" ht="14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</row>
    <row r="591" spans="1:25" ht="14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</row>
    <row r="592" spans="1:25" ht="14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</row>
    <row r="593" spans="1:25" ht="14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</row>
    <row r="594" spans="1:25" ht="14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</row>
    <row r="595" spans="1:25" ht="14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</row>
    <row r="596" spans="1:25" ht="14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</row>
    <row r="597" spans="1:25" ht="14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</row>
    <row r="598" spans="1:25" ht="14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</row>
    <row r="599" spans="1:25" ht="14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</row>
    <row r="600" spans="1:25" ht="14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</row>
    <row r="601" spans="1:25" ht="14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</row>
    <row r="602" spans="1:25" ht="14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</row>
    <row r="603" spans="1:25" ht="14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</row>
    <row r="604" spans="1:25" ht="14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</row>
    <row r="605" spans="1:25" ht="14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</row>
    <row r="606" spans="1:25" ht="14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</row>
    <row r="607" spans="1:25" ht="14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</row>
    <row r="608" spans="1:25" ht="14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</row>
    <row r="609" spans="1:25" ht="14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</row>
    <row r="610" spans="1:25" ht="14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</row>
    <row r="611" spans="1:25" ht="14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</row>
    <row r="612" spans="1:25" ht="14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</row>
    <row r="613" spans="1:25" ht="14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</row>
    <row r="614" spans="1:25" ht="14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</row>
    <row r="615" spans="1:25" ht="14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</row>
    <row r="616" spans="1:25" ht="14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</row>
    <row r="617" spans="1:25" ht="14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</row>
    <row r="618" spans="1:25" ht="14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</row>
    <row r="619" spans="1:25" ht="14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</row>
    <row r="620" spans="1:25" ht="14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</row>
    <row r="621" spans="1:25" ht="14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</row>
    <row r="622" spans="1:25" ht="14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</row>
    <row r="623" spans="1:25" ht="14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</row>
    <row r="624" spans="1:25" ht="14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</row>
    <row r="625" spans="1:25" ht="14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</row>
    <row r="626" spans="1:25" ht="14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</row>
    <row r="627" spans="1:25" ht="14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</row>
    <row r="628" spans="1:25" ht="14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</row>
    <row r="629" spans="1:25" ht="14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</row>
    <row r="630" spans="1:25" ht="14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</row>
    <row r="631" spans="1:25" ht="14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</row>
    <row r="632" spans="1:25" ht="14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</row>
    <row r="633" spans="1:25" ht="14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</row>
    <row r="634" spans="1:25" ht="14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</row>
    <row r="635" spans="1:25" ht="14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</row>
    <row r="636" spans="1:25" ht="14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</row>
    <row r="637" spans="1:25" ht="14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</row>
    <row r="638" spans="1:25" ht="14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</row>
    <row r="639" spans="1:25" ht="14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</row>
    <row r="640" spans="1:25" ht="14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</row>
    <row r="641" spans="1:25" ht="14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</row>
    <row r="642" spans="1:25" ht="14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</row>
    <row r="643" spans="1:25" ht="14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</row>
    <row r="644" spans="1:25" ht="14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</row>
    <row r="645" spans="1:25" ht="14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</row>
    <row r="646" spans="1:25" ht="14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</row>
    <row r="647" spans="1:25" ht="14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</row>
    <row r="648" spans="1:25" ht="14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</row>
    <row r="649" spans="1:25" ht="14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</row>
    <row r="650" spans="1:25" ht="14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</row>
    <row r="651" spans="1:25" ht="14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</row>
    <row r="652" spans="1:25" ht="14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</row>
    <row r="653" spans="1:25" ht="14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</row>
    <row r="654" spans="1:25" ht="14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</row>
    <row r="655" spans="1:25" ht="14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</row>
    <row r="656" spans="1:25" ht="14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</row>
    <row r="657" spans="1:25" ht="14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</row>
    <row r="658" spans="1:25" ht="14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</row>
    <row r="659" spans="1:25" ht="14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</row>
    <row r="660" spans="1:25" ht="14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</row>
    <row r="661" spans="1:25" ht="14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</row>
    <row r="662" spans="1:25" ht="14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</row>
    <row r="663" spans="1:25" ht="14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</row>
    <row r="664" spans="1:25" ht="14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</row>
    <row r="665" spans="1:25" ht="14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</row>
    <row r="666" spans="1:25" ht="14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</row>
    <row r="667" spans="1:25" ht="14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</row>
    <row r="668" spans="1:25" ht="14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</row>
    <row r="669" spans="1:25" ht="14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</row>
    <row r="670" spans="1:25" ht="14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</row>
    <row r="671" spans="1:25" ht="14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</row>
    <row r="672" spans="1:25" ht="14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</row>
    <row r="673" spans="1:25" ht="14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</row>
    <row r="674" spans="1:25" ht="14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</row>
    <row r="675" spans="1:25" ht="14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</row>
    <row r="676" spans="1:25" ht="14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</row>
    <row r="677" spans="1:25" ht="14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</row>
    <row r="678" spans="1:25" ht="14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</row>
    <row r="679" spans="1:25" ht="14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</row>
    <row r="680" spans="1:25" ht="14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</row>
    <row r="681" spans="1:25" ht="14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</row>
    <row r="682" spans="1:25" ht="14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</row>
    <row r="683" spans="1:25" ht="14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</row>
    <row r="684" spans="1:25" ht="14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</row>
    <row r="685" spans="1:25" ht="14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</row>
    <row r="686" spans="1:25" ht="14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</row>
    <row r="687" spans="1:25" ht="14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</row>
    <row r="688" spans="1:25" ht="14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</row>
    <row r="689" spans="1:25" ht="14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</row>
    <row r="690" spans="1:25" ht="14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</row>
    <row r="691" spans="1:25" ht="14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</row>
    <row r="692" spans="1:25" ht="14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</row>
    <row r="693" spans="1:25" ht="14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</row>
    <row r="694" spans="1:25" ht="14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</row>
    <row r="695" spans="1:25" ht="14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</row>
    <row r="696" spans="1:25" ht="14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</row>
    <row r="697" spans="1:25" ht="14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</row>
    <row r="698" spans="1:25" ht="14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</row>
    <row r="699" spans="1:25" ht="14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</row>
    <row r="700" spans="1:25" ht="14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</row>
    <row r="701" spans="1:25" ht="14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</row>
    <row r="702" spans="1:25" ht="14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</row>
    <row r="703" spans="1:25" ht="14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</row>
    <row r="704" spans="1:25" ht="14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</row>
    <row r="705" spans="1:25" ht="14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</row>
    <row r="706" spans="1:25" ht="14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</row>
    <row r="707" spans="1:25" ht="14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</row>
    <row r="708" spans="1:25" ht="14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</row>
    <row r="709" spans="1:25" ht="14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</row>
    <row r="710" spans="1:25" ht="14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</row>
    <row r="711" spans="1:25" ht="14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</row>
    <row r="712" spans="1:25" ht="14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</row>
    <row r="713" spans="1:25" ht="14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</row>
    <row r="714" spans="1:25" ht="14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</row>
    <row r="715" spans="1:25" ht="14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</row>
    <row r="716" spans="1:25" ht="14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</row>
    <row r="717" spans="1:25" ht="14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</row>
    <row r="718" spans="1:25" ht="14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</row>
    <row r="719" spans="1:25" ht="14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</row>
    <row r="720" spans="1:25" ht="14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</row>
    <row r="721" spans="1:25" ht="14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</row>
    <row r="722" spans="1:25" ht="14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</row>
    <row r="723" spans="1:25" ht="14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</row>
    <row r="724" spans="1:25" ht="14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</row>
    <row r="725" spans="1:25" ht="14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</row>
    <row r="726" spans="1:25" ht="14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</row>
    <row r="727" spans="1:25" ht="14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</row>
    <row r="728" spans="1:25" ht="14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</row>
    <row r="729" spans="1:25" ht="14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</row>
    <row r="730" spans="1:25" ht="14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</row>
    <row r="731" spans="1:25" ht="14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</row>
    <row r="732" spans="1:25" ht="14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</row>
    <row r="733" spans="1:25" ht="14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</row>
    <row r="734" spans="1:25" ht="14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</row>
    <row r="735" spans="1:25" ht="14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</row>
    <row r="736" spans="1:25" ht="14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</row>
    <row r="737" spans="1:25" ht="14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</row>
    <row r="738" spans="1:25" ht="14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</row>
    <row r="739" spans="1:25" ht="14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</row>
    <row r="740" spans="1:25" ht="14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</row>
    <row r="741" spans="1:25" ht="14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</row>
    <row r="742" spans="1:25" ht="14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</row>
    <row r="743" spans="1:25" ht="14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</row>
    <row r="744" spans="1:25" ht="14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</row>
    <row r="745" spans="1:25" ht="14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</row>
    <row r="746" spans="1:25" ht="14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</row>
    <row r="747" spans="1:25" ht="14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</row>
    <row r="748" spans="1:25" ht="14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</row>
    <row r="749" spans="1:25" ht="14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</row>
    <row r="750" spans="1:25" ht="14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</row>
    <row r="751" spans="1:25" ht="14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</row>
    <row r="752" spans="1:25" ht="14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</row>
    <row r="753" spans="1:25" ht="14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</row>
    <row r="754" spans="1:25" ht="14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</row>
    <row r="755" spans="1:25" ht="14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</row>
    <row r="756" spans="1:25" ht="14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</row>
    <row r="757" spans="1:25" ht="14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</row>
    <row r="758" spans="1:25" ht="14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</row>
    <row r="759" spans="1:25" ht="14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</row>
    <row r="760" spans="1:25" ht="14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</row>
    <row r="761" spans="1:25" ht="14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</row>
    <row r="762" spans="1:25" ht="14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</row>
    <row r="763" spans="1:25" ht="14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</row>
    <row r="764" spans="1:25" ht="14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</row>
    <row r="765" spans="1:25" ht="14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</row>
    <row r="766" spans="1:25" ht="14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</row>
    <row r="767" spans="1:25" ht="14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</row>
    <row r="768" spans="1:25" ht="14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</row>
    <row r="769" spans="1:25" ht="14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</row>
    <row r="770" spans="1:25" ht="14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</row>
    <row r="771" spans="1:25" ht="14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</row>
    <row r="772" spans="1:25" ht="14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</row>
    <row r="773" spans="1:25" ht="14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</row>
    <row r="774" spans="1:25" ht="14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</row>
    <row r="775" spans="1:25" ht="14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</row>
    <row r="776" spans="1:25" ht="14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</row>
    <row r="777" spans="1:25" ht="14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</row>
    <row r="778" spans="1:25" ht="14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</row>
    <row r="779" spans="1:25" ht="14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</row>
    <row r="780" spans="1:25" ht="14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</row>
    <row r="781" spans="1:25" ht="14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</row>
    <row r="782" spans="1:25" ht="14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</row>
    <row r="783" spans="1:25" ht="14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</row>
    <row r="784" spans="1:25" ht="14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</row>
    <row r="785" spans="1:25" ht="14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</row>
    <row r="786" spans="1:25" ht="14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</row>
    <row r="787" spans="1:25" ht="14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</row>
    <row r="788" spans="1:25" ht="14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</row>
    <row r="789" spans="1:25" ht="14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</row>
    <row r="790" spans="1:25" ht="14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</row>
    <row r="791" spans="1:25" ht="14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</row>
    <row r="792" spans="1:25" ht="14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</row>
    <row r="793" spans="1:25" ht="14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</row>
    <row r="794" spans="1:25" ht="14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</row>
    <row r="795" spans="1:25" ht="14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</row>
    <row r="796" spans="1:25" ht="14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</row>
    <row r="797" spans="1:25" ht="14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</row>
    <row r="798" spans="1:25" ht="14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</row>
    <row r="799" spans="1:25" ht="14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</row>
    <row r="800" spans="1:25" ht="14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</row>
    <row r="801" spans="1:25" ht="14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</row>
    <row r="802" spans="1:25" ht="14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</row>
    <row r="803" spans="1:25" ht="14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</row>
    <row r="804" spans="1:25" ht="14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</row>
    <row r="805" spans="1:25" ht="14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</row>
    <row r="806" spans="1:25" ht="14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</row>
    <row r="807" spans="1:25" ht="14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</row>
    <row r="808" spans="1:25" ht="14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</row>
    <row r="809" spans="1:25" ht="14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</row>
    <row r="810" spans="1:25" ht="14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</row>
    <row r="811" spans="1:25" ht="14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</row>
    <row r="812" spans="1:25" ht="14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</row>
    <row r="813" spans="1:25" ht="14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</row>
    <row r="814" spans="1:25" ht="14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</row>
    <row r="815" spans="1:25" ht="14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</row>
    <row r="816" spans="1:25" ht="14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</row>
    <row r="817" spans="1:25" ht="14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</row>
    <row r="818" spans="1:25" ht="14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</row>
    <row r="819" spans="1:25" ht="14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</row>
    <row r="820" spans="1:25" ht="14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</row>
    <row r="821" spans="1:25" ht="14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</row>
    <row r="822" spans="1:25" ht="14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</row>
    <row r="823" spans="1:25" ht="14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</row>
    <row r="824" spans="1:25" ht="14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</row>
    <row r="825" spans="1:25" ht="14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</row>
    <row r="826" spans="1:25" ht="14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</row>
    <row r="827" spans="1:25" ht="14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</row>
    <row r="828" spans="1:25" ht="14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</row>
    <row r="829" spans="1:25" ht="14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</row>
    <row r="830" spans="1:25" ht="14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</row>
    <row r="831" spans="1:25" ht="14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</row>
    <row r="832" spans="1:25" ht="14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</row>
    <row r="833" spans="1:25" ht="14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</row>
    <row r="834" spans="1:25" ht="14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</row>
    <row r="835" spans="1:25" ht="14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</row>
    <row r="836" spans="1:25" ht="14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</row>
    <row r="837" spans="1:25" ht="14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</row>
    <row r="838" spans="1:25" ht="14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</row>
    <row r="839" spans="1:25" ht="14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</row>
    <row r="840" spans="1:25" ht="14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</row>
    <row r="841" spans="1:25" ht="14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</row>
    <row r="842" spans="1:25" ht="14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</row>
    <row r="843" spans="1:25" ht="14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</row>
    <row r="844" spans="1:25" ht="14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</row>
    <row r="845" spans="1:25" ht="14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</row>
    <row r="846" spans="1:25" ht="14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</row>
    <row r="847" spans="1:25" ht="14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</row>
    <row r="848" spans="1:25" ht="14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</row>
    <row r="849" spans="1:25" ht="14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</row>
    <row r="850" spans="1:25" ht="14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</row>
    <row r="851" spans="1:25" ht="14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</row>
    <row r="852" spans="1:25" ht="14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</row>
    <row r="853" spans="1:25" ht="14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</row>
    <row r="854" spans="1:25" ht="14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</row>
    <row r="855" spans="1:25" ht="14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</row>
    <row r="856" spans="1:25" ht="14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</row>
    <row r="857" spans="1:25" ht="14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</row>
    <row r="858" spans="1:25" ht="14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</row>
    <row r="859" spans="1:25" ht="14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</row>
    <row r="860" spans="1:25" ht="14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</row>
    <row r="861" spans="1:25" ht="14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</row>
    <row r="862" spans="1:25" ht="14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</row>
    <row r="863" spans="1:25" ht="14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</row>
    <row r="864" spans="1:25" ht="14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</row>
    <row r="865" spans="1:25" ht="14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</row>
    <row r="866" spans="1:25" ht="14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</row>
    <row r="867" spans="1:25" ht="14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</row>
    <row r="868" spans="1:25" ht="14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</row>
    <row r="869" spans="1:25" ht="14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</row>
    <row r="870" spans="1:25" ht="14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</row>
    <row r="871" spans="1:25" ht="14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</row>
    <row r="872" spans="1:25" ht="14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</row>
    <row r="873" spans="1:25" ht="14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</row>
    <row r="874" spans="1:25" ht="14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</row>
    <row r="875" spans="1:25" ht="14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</row>
    <row r="876" spans="1:25" ht="14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</row>
    <row r="877" spans="1:25" ht="14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</row>
    <row r="878" spans="1:25" ht="14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</row>
    <row r="879" spans="1:25" ht="14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</row>
    <row r="880" spans="1:25" ht="14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</row>
    <row r="881" spans="1:25" ht="14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</row>
    <row r="882" spans="1:25" ht="14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</row>
    <row r="883" spans="1:25" ht="14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</row>
    <row r="884" spans="1:25" ht="14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</row>
    <row r="885" spans="1:25" ht="14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</row>
    <row r="886" spans="1:25" ht="14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</row>
    <row r="887" spans="1:25" ht="14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</row>
    <row r="888" spans="1:25" ht="14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</row>
    <row r="889" spans="1:25" ht="14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</row>
    <row r="890" spans="1:25" ht="14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</row>
    <row r="891" spans="1:25" ht="14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</row>
    <row r="892" spans="1:25" ht="14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</row>
    <row r="893" spans="1:25" ht="14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</row>
    <row r="894" spans="1:25" ht="14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</row>
    <row r="895" spans="1:25" ht="14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</row>
    <row r="896" spans="1:25" ht="14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</row>
    <row r="897" spans="1:25" ht="14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</row>
    <row r="898" spans="1:25" ht="14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</row>
    <row r="899" spans="1:25" ht="14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</row>
    <row r="900" spans="1:25" ht="14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</row>
    <row r="901" spans="1:25" ht="14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</row>
    <row r="902" spans="1:25" ht="14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</row>
    <row r="903" spans="1:25" ht="14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</row>
    <row r="904" spans="1:25" ht="14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</row>
    <row r="905" spans="1:25" ht="14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</row>
    <row r="906" spans="1:25" ht="14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</row>
    <row r="907" spans="1:25" ht="14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</row>
    <row r="908" spans="1:25" ht="14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</row>
    <row r="909" spans="1:25" ht="14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</row>
    <row r="910" spans="1:25" ht="14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</row>
    <row r="911" spans="1:25" ht="14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</row>
    <row r="912" spans="1:25" ht="14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</row>
    <row r="913" spans="1:25" ht="14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</row>
    <row r="914" spans="1:25" ht="14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</row>
    <row r="915" spans="1:25" ht="14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</row>
    <row r="916" spans="1:25" ht="14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</row>
    <row r="917" spans="1:25" ht="14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</row>
    <row r="918" spans="1:25" ht="14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</row>
    <row r="919" spans="1:25" ht="14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</row>
    <row r="920" spans="1:25" ht="14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</row>
    <row r="921" spans="1:25" ht="14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</row>
    <row r="922" spans="1:25" ht="14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</row>
    <row r="923" spans="1:25" ht="14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</row>
    <row r="924" spans="1:25" ht="14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</row>
    <row r="925" spans="1:25" ht="14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</row>
    <row r="926" spans="1:25" ht="14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</row>
    <row r="927" spans="1:25" ht="14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</row>
    <row r="928" spans="1:25" ht="14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</row>
    <row r="929" spans="1:25" ht="14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</row>
    <row r="930" spans="1:25" ht="14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</row>
    <row r="931" spans="1:25" ht="14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</row>
    <row r="932" spans="1:25" ht="14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</row>
    <row r="933" spans="1:25" ht="14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</row>
    <row r="934" spans="1:25" ht="14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</row>
    <row r="935" spans="1:25" ht="14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</row>
    <row r="936" spans="1:25" ht="14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</row>
    <row r="937" spans="1:25" ht="14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</row>
    <row r="938" spans="1:25" ht="14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</row>
    <row r="939" spans="1:25" ht="14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</row>
    <row r="940" spans="1:25" ht="14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</row>
    <row r="941" spans="1:25" ht="14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</row>
    <row r="942" spans="1:25" ht="14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</row>
    <row r="943" spans="1:25" ht="14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</row>
    <row r="944" spans="1:25" ht="14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</row>
    <row r="945" spans="1:25" ht="14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</row>
    <row r="946" spans="1:25" ht="14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</row>
    <row r="947" spans="1:25" ht="14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</row>
    <row r="948" spans="1:25" ht="14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</row>
    <row r="949" spans="1:25" ht="14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</row>
    <row r="950" spans="1:25" ht="14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</row>
    <row r="951" spans="1:25" ht="14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</row>
    <row r="952" spans="1:25" ht="14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</row>
    <row r="953" spans="1:25" ht="14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</row>
    <row r="954" spans="1:25" ht="14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</row>
    <row r="955" spans="1:25" ht="14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</row>
    <row r="956" spans="1:25" ht="14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</row>
    <row r="957" spans="1:25" ht="14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</row>
    <row r="958" spans="1:25" ht="14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</row>
    <row r="959" spans="1:25" ht="14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</row>
    <row r="960" spans="1:25" ht="14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</row>
    <row r="961" spans="1:25" ht="14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</row>
    <row r="962" spans="1:25" ht="14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</row>
    <row r="963" spans="1:25" ht="14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</row>
    <row r="964" spans="1:25" ht="14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</row>
  </sheetData>
  <mergeCells count="12">
    <mergeCell ref="B11:H11"/>
    <mergeCell ref="I11:M11"/>
    <mergeCell ref="B12:M12"/>
    <mergeCell ref="B28:M28"/>
    <mergeCell ref="A2:P2"/>
    <mergeCell ref="A3:P3"/>
    <mergeCell ref="B4:C4"/>
    <mergeCell ref="B5:C5"/>
    <mergeCell ref="A6:A9"/>
    <mergeCell ref="B6:M6"/>
    <mergeCell ref="I7:M7"/>
    <mergeCell ref="B7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B982"/>
  <sheetViews>
    <sheetView workbookViewId="0"/>
  </sheetViews>
  <sheetFormatPr baseColWidth="10" defaultColWidth="12.58203125" defaultRowHeight="15" customHeight="1"/>
  <cols>
    <col min="1" max="1" width="27.75" customWidth="1"/>
    <col min="2" max="3" width="13.83203125" customWidth="1"/>
    <col min="4" max="4" width="16.58203125" customWidth="1"/>
    <col min="5" max="11" width="13.83203125" customWidth="1"/>
    <col min="12" max="14" width="16.58203125" customWidth="1"/>
  </cols>
  <sheetData>
    <row r="1" spans="1:28" ht="14">
      <c r="A1" s="123"/>
      <c r="B1" s="123"/>
      <c r="C1" s="123"/>
      <c r="D1" s="123"/>
      <c r="E1" s="123"/>
      <c r="F1" s="160">
        <f>B11+'FERR 1616-2019'!B11</f>
        <v>474000000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8" ht="14">
      <c r="A2" s="374" t="s">
        <v>261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ht="14">
      <c r="A3" s="379" t="s">
        <v>262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</row>
    <row r="4" spans="1:28" ht="14">
      <c r="A4" s="125" t="s">
        <v>0</v>
      </c>
      <c r="B4" s="380" t="s">
        <v>1</v>
      </c>
      <c r="C4" s="343"/>
      <c r="D4" s="125" t="s">
        <v>263</v>
      </c>
      <c r="E4" s="125" t="s">
        <v>177</v>
      </c>
      <c r="F4" s="125" t="s">
        <v>178</v>
      </c>
      <c r="G4" s="162"/>
      <c r="H4" s="162"/>
      <c r="I4" s="162"/>
      <c r="J4" s="162"/>
      <c r="K4" s="162"/>
      <c r="L4" s="162"/>
      <c r="M4" s="162"/>
      <c r="N4" s="162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</row>
    <row r="5" spans="1:28" ht="14">
      <c r="A5" s="127">
        <v>43682</v>
      </c>
      <c r="B5" s="376">
        <v>43894</v>
      </c>
      <c r="C5" s="343"/>
      <c r="D5" s="128">
        <v>44012</v>
      </c>
      <c r="E5" s="128">
        <v>44104</v>
      </c>
      <c r="F5" s="128">
        <v>44242</v>
      </c>
      <c r="G5" s="126"/>
      <c r="H5" s="126"/>
      <c r="I5" s="126"/>
      <c r="J5" s="126"/>
      <c r="K5" s="126"/>
      <c r="L5" s="126"/>
      <c r="M5" s="126"/>
      <c r="N5" s="126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</row>
    <row r="6" spans="1:28" ht="14">
      <c r="A6" s="377" t="s">
        <v>110</v>
      </c>
      <c r="B6" s="376" t="s">
        <v>264</v>
      </c>
      <c r="C6" s="342"/>
      <c r="D6" s="342"/>
      <c r="E6" s="342"/>
      <c r="F6" s="342"/>
      <c r="G6" s="342"/>
      <c r="H6" s="342"/>
      <c r="I6" s="342"/>
      <c r="J6" s="342"/>
      <c r="K6" s="343"/>
      <c r="L6" s="129" t="s">
        <v>112</v>
      </c>
      <c r="M6" s="129" t="s">
        <v>113</v>
      </c>
      <c r="N6" s="129" t="s">
        <v>114</v>
      </c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</row>
    <row r="7" spans="1:28" ht="14">
      <c r="A7" s="339"/>
      <c r="B7" s="382" t="s">
        <v>21</v>
      </c>
      <c r="C7" s="342"/>
      <c r="D7" s="342"/>
      <c r="E7" s="342"/>
      <c r="F7" s="343"/>
      <c r="G7" s="381" t="s">
        <v>265</v>
      </c>
      <c r="H7" s="342"/>
      <c r="I7" s="342"/>
      <c r="J7" s="342"/>
      <c r="K7" s="343"/>
      <c r="L7" s="130"/>
      <c r="M7" s="130"/>
      <c r="N7" s="130"/>
      <c r="O7" s="123"/>
      <c r="P7" s="123"/>
      <c r="Q7" s="16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</row>
    <row r="8" spans="1:28" ht="14">
      <c r="A8" s="339"/>
      <c r="B8" s="164" t="s">
        <v>115</v>
      </c>
      <c r="C8" s="164" t="s">
        <v>119</v>
      </c>
      <c r="D8" s="164" t="s">
        <v>117</v>
      </c>
      <c r="E8" s="164" t="s">
        <v>116</v>
      </c>
      <c r="F8" s="165" t="s">
        <v>118</v>
      </c>
      <c r="G8" s="166" t="s">
        <v>115</v>
      </c>
      <c r="H8" s="166" t="s">
        <v>119</v>
      </c>
      <c r="I8" s="166" t="s">
        <v>117</v>
      </c>
      <c r="J8" s="166" t="s">
        <v>116</v>
      </c>
      <c r="K8" s="167" t="s">
        <v>118</v>
      </c>
      <c r="L8" s="130"/>
      <c r="M8" s="130"/>
      <c r="N8" s="130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</row>
    <row r="9" spans="1:28" ht="14">
      <c r="A9" s="340"/>
      <c r="B9" s="164" t="s">
        <v>266</v>
      </c>
      <c r="C9" s="164" t="s">
        <v>267</v>
      </c>
      <c r="D9" s="164" t="s">
        <v>268</v>
      </c>
      <c r="E9" s="164" t="s">
        <v>269</v>
      </c>
      <c r="F9" s="164" t="s">
        <v>270</v>
      </c>
      <c r="G9" s="166" t="s">
        <v>271</v>
      </c>
      <c r="H9" s="166" t="s">
        <v>272</v>
      </c>
      <c r="I9" s="166" t="s">
        <v>273</v>
      </c>
      <c r="J9" s="166" t="s">
        <v>274</v>
      </c>
      <c r="K9" s="166" t="s">
        <v>275</v>
      </c>
      <c r="L9" s="130"/>
      <c r="M9" s="130"/>
      <c r="N9" s="130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1:28" ht="14">
      <c r="A10" s="135" t="s">
        <v>5</v>
      </c>
      <c r="B10" s="168">
        <v>37000000</v>
      </c>
      <c r="C10" s="168">
        <v>4000000</v>
      </c>
      <c r="D10" s="168">
        <v>12000000</v>
      </c>
      <c r="E10" s="168">
        <v>18000000</v>
      </c>
      <c r="F10" s="168">
        <v>51000000</v>
      </c>
      <c r="G10" s="169">
        <f t="shared" ref="G10:K10" si="0">B10*0.5</f>
        <v>18500000</v>
      </c>
      <c r="H10" s="169">
        <f t="shared" si="0"/>
        <v>2000000</v>
      </c>
      <c r="I10" s="169">
        <f t="shared" si="0"/>
        <v>6000000</v>
      </c>
      <c r="J10" s="169">
        <f t="shared" si="0"/>
        <v>9000000</v>
      </c>
      <c r="K10" s="169">
        <f t="shared" si="0"/>
        <v>25500000</v>
      </c>
      <c r="L10" s="139"/>
      <c r="M10" s="130"/>
      <c r="N10" s="130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</row>
    <row r="11" spans="1:28" ht="14">
      <c r="A11" s="139" t="s">
        <v>243</v>
      </c>
      <c r="B11" s="373">
        <f>SUM(B10:F10)</f>
        <v>122000000</v>
      </c>
      <c r="C11" s="342"/>
      <c r="D11" s="342"/>
      <c r="E11" s="342"/>
      <c r="F11" s="342"/>
      <c r="G11" s="373">
        <f>SUM(G10:K10)</f>
        <v>61000000</v>
      </c>
      <c r="H11" s="342"/>
      <c r="I11" s="342"/>
      <c r="J11" s="342"/>
      <c r="K11" s="342"/>
      <c r="L11" s="130"/>
      <c r="M11" s="130"/>
      <c r="N11" s="130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</row>
    <row r="12" spans="1:28" ht="14">
      <c r="A12" s="139" t="s">
        <v>33</v>
      </c>
      <c r="B12" s="373">
        <f>B11+G11</f>
        <v>183000000</v>
      </c>
      <c r="C12" s="342"/>
      <c r="D12" s="342"/>
      <c r="E12" s="342"/>
      <c r="F12" s="342"/>
      <c r="G12" s="342"/>
      <c r="H12" s="342"/>
      <c r="I12" s="342"/>
      <c r="J12" s="342"/>
      <c r="K12" s="343"/>
      <c r="L12" s="144"/>
      <c r="M12" s="144"/>
      <c r="N12" s="140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</row>
    <row r="13" spans="1:28" ht="14">
      <c r="A13" s="141" t="s">
        <v>276</v>
      </c>
      <c r="B13" s="170">
        <v>37000000</v>
      </c>
      <c r="C13" s="170">
        <v>700301</v>
      </c>
      <c r="D13" s="170">
        <v>1628545</v>
      </c>
      <c r="E13" s="170">
        <v>5536517</v>
      </c>
      <c r="F13" s="170">
        <f>4162995+5618498</f>
        <v>9781493</v>
      </c>
      <c r="G13" s="143"/>
      <c r="H13" s="143"/>
      <c r="I13" s="143"/>
      <c r="J13" s="143"/>
      <c r="K13" s="143"/>
      <c r="L13" s="144">
        <f t="shared" ref="L13:L24" si="1">SUM(B13:K13)</f>
        <v>54646856</v>
      </c>
      <c r="M13" s="144">
        <f>L13</f>
        <v>54646856</v>
      </c>
      <c r="N13" s="145">
        <f t="shared" ref="N13:N24" si="2">M13/$B$12</f>
        <v>0.2986166994535519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</row>
    <row r="14" spans="1:28" ht="14">
      <c r="A14" s="141" t="s">
        <v>277</v>
      </c>
      <c r="B14" s="170"/>
      <c r="C14" s="170">
        <v>360458</v>
      </c>
      <c r="D14" s="170">
        <v>128290</v>
      </c>
      <c r="E14" s="170">
        <v>2573105</v>
      </c>
      <c r="F14" s="170">
        <v>7771845</v>
      </c>
      <c r="G14" s="143"/>
      <c r="H14" s="143"/>
      <c r="I14" s="143"/>
      <c r="J14" s="143"/>
      <c r="K14" s="143"/>
      <c r="L14" s="144">
        <f t="shared" si="1"/>
        <v>10833698</v>
      </c>
      <c r="M14" s="144">
        <f t="shared" ref="M14:M24" si="3">M13+L14</f>
        <v>65480554</v>
      </c>
      <c r="N14" s="145">
        <f t="shared" si="2"/>
        <v>0.35781723497267759</v>
      </c>
      <c r="O14" s="123" t="s">
        <v>278</v>
      </c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1:28" ht="14">
      <c r="A15" s="141" t="s">
        <v>279</v>
      </c>
      <c r="B15" s="171"/>
      <c r="C15" s="171">
        <v>880527</v>
      </c>
      <c r="D15" s="171">
        <v>813817</v>
      </c>
      <c r="E15" s="171">
        <v>2897781</v>
      </c>
      <c r="F15" s="171">
        <v>3803667</v>
      </c>
      <c r="G15" s="171"/>
      <c r="H15" s="171"/>
      <c r="I15" s="171"/>
      <c r="J15" s="171"/>
      <c r="K15" s="171"/>
      <c r="L15" s="171">
        <f t="shared" si="1"/>
        <v>8395792</v>
      </c>
      <c r="M15" s="171">
        <f t="shared" si="3"/>
        <v>73876346</v>
      </c>
      <c r="N15" s="172">
        <f t="shared" si="2"/>
        <v>0.40369587978142074</v>
      </c>
      <c r="O15" s="123">
        <v>2020</v>
      </c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</row>
    <row r="16" spans="1:28" ht="14">
      <c r="A16" s="141" t="s">
        <v>280</v>
      </c>
      <c r="B16" s="171"/>
      <c r="C16" s="171">
        <v>128670</v>
      </c>
      <c r="D16" s="171"/>
      <c r="E16" s="171">
        <v>5026030</v>
      </c>
      <c r="F16" s="171">
        <v>6012871</v>
      </c>
      <c r="G16" s="171">
        <v>0</v>
      </c>
      <c r="H16" s="171"/>
      <c r="I16" s="171"/>
      <c r="J16" s="171">
        <v>0</v>
      </c>
      <c r="K16" s="171"/>
      <c r="L16" s="171">
        <f t="shared" si="1"/>
        <v>11167571</v>
      </c>
      <c r="M16" s="171">
        <f t="shared" si="3"/>
        <v>85043917</v>
      </c>
      <c r="N16" s="172">
        <f t="shared" si="2"/>
        <v>0.46472085792349727</v>
      </c>
      <c r="O16" s="123">
        <v>2020</v>
      </c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</row>
    <row r="17" spans="1:28" ht="14">
      <c r="A17" s="141" t="s">
        <v>281</v>
      </c>
      <c r="B17" s="170"/>
      <c r="C17" s="170">
        <v>1930044</v>
      </c>
      <c r="D17" s="170">
        <v>2161705</v>
      </c>
      <c r="E17" s="170">
        <v>1966567</v>
      </c>
      <c r="F17" s="170">
        <v>2161704</v>
      </c>
      <c r="G17" s="143"/>
      <c r="H17" s="143"/>
      <c r="I17" s="143"/>
      <c r="J17" s="143"/>
      <c r="K17" s="143"/>
      <c r="L17" s="144">
        <f t="shared" si="1"/>
        <v>8220020</v>
      </c>
      <c r="M17" s="144">
        <f t="shared" si="3"/>
        <v>93263937</v>
      </c>
      <c r="N17" s="145">
        <f t="shared" si="2"/>
        <v>0.50963899999999995</v>
      </c>
      <c r="O17" s="123">
        <v>2020</v>
      </c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</row>
    <row r="18" spans="1:28" ht="14">
      <c r="A18" s="141" t="s">
        <v>282</v>
      </c>
      <c r="B18" s="170"/>
      <c r="C18" s="170"/>
      <c r="D18" s="170">
        <v>2376334</v>
      </c>
      <c r="E18" s="170"/>
      <c r="F18" s="170">
        <f>20806096+662324</f>
        <v>21468420</v>
      </c>
      <c r="G18" s="143"/>
      <c r="H18" s="173"/>
      <c r="I18" s="143"/>
      <c r="J18" s="143"/>
      <c r="K18" s="143"/>
      <c r="L18" s="144">
        <f t="shared" si="1"/>
        <v>23844754</v>
      </c>
      <c r="M18" s="144">
        <f t="shared" si="3"/>
        <v>117108691</v>
      </c>
      <c r="N18" s="145">
        <f t="shared" si="2"/>
        <v>0.63993820218579234</v>
      </c>
      <c r="O18" s="123">
        <v>2020</v>
      </c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</row>
    <row r="19" spans="1:28" ht="14">
      <c r="A19" s="141" t="s">
        <v>283</v>
      </c>
      <c r="B19" s="170"/>
      <c r="C19" s="170"/>
      <c r="D19" s="170">
        <v>4891309</v>
      </c>
      <c r="E19" s="170"/>
      <c r="F19" s="170"/>
      <c r="G19" s="143">
        <v>3000000</v>
      </c>
      <c r="H19" s="143">
        <v>2000000</v>
      </c>
      <c r="I19" s="143">
        <v>300000</v>
      </c>
      <c r="J19" s="143">
        <f>12938990-D19-G19-H19-I19-K19</f>
        <v>1747681</v>
      </c>
      <c r="K19" s="143">
        <v>1000000</v>
      </c>
      <c r="L19" s="144">
        <f t="shared" si="1"/>
        <v>12938990</v>
      </c>
      <c r="M19" s="144">
        <f t="shared" si="3"/>
        <v>130047681</v>
      </c>
      <c r="N19" s="145">
        <f t="shared" si="2"/>
        <v>0.71064306557377044</v>
      </c>
      <c r="O19" s="123">
        <v>2020</v>
      </c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</row>
    <row r="20" spans="1:28" ht="14">
      <c r="A20" s="141" t="s">
        <v>284</v>
      </c>
      <c r="B20" s="170"/>
      <c r="C20" s="170"/>
      <c r="D20" s="170"/>
      <c r="E20" s="170"/>
      <c r="F20" s="170"/>
      <c r="G20" s="143"/>
      <c r="H20" s="143"/>
      <c r="I20" s="143">
        <v>5700000</v>
      </c>
      <c r="J20" s="143"/>
      <c r="K20" s="143">
        <f>9153324-I20</f>
        <v>3453324</v>
      </c>
      <c r="L20" s="144">
        <f t="shared" si="1"/>
        <v>9153324</v>
      </c>
      <c r="M20" s="144">
        <f t="shared" si="3"/>
        <v>139201005</v>
      </c>
      <c r="N20" s="145">
        <f t="shared" si="2"/>
        <v>0.7606612295081967</v>
      </c>
      <c r="O20" s="123">
        <v>2021</v>
      </c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</row>
    <row r="21" spans="1:28" ht="13.5" customHeight="1">
      <c r="A21" s="141" t="s">
        <v>285</v>
      </c>
      <c r="B21" s="170"/>
      <c r="C21" s="170"/>
      <c r="D21" s="170"/>
      <c r="E21" s="170"/>
      <c r="F21" s="170"/>
      <c r="G21" s="143">
        <v>458567</v>
      </c>
      <c r="H21" s="143"/>
      <c r="I21" s="143"/>
      <c r="J21" s="143">
        <f>21957310-21505243</f>
        <v>452067</v>
      </c>
      <c r="K21" s="143">
        <v>21046676</v>
      </c>
      <c r="L21" s="144">
        <f t="shared" si="1"/>
        <v>21957310</v>
      </c>
      <c r="M21" s="144">
        <f t="shared" si="3"/>
        <v>161158315</v>
      </c>
      <c r="N21" s="145">
        <f t="shared" si="2"/>
        <v>0.88064653005464477</v>
      </c>
      <c r="O21" s="123">
        <v>2021</v>
      </c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</row>
    <row r="22" spans="1:28" ht="14">
      <c r="A22" s="174" t="s">
        <v>286</v>
      </c>
      <c r="B22" s="170"/>
      <c r="C22" s="170"/>
      <c r="D22" s="170"/>
      <c r="E22" s="170"/>
      <c r="F22" s="170"/>
      <c r="G22" s="143">
        <v>15036364</v>
      </c>
      <c r="H22" s="143"/>
      <c r="I22" s="143"/>
      <c r="J22" s="143"/>
      <c r="K22" s="143"/>
      <c r="L22" s="144">
        <f t="shared" si="1"/>
        <v>15036364</v>
      </c>
      <c r="M22" s="144">
        <f t="shared" si="3"/>
        <v>176194679</v>
      </c>
      <c r="N22" s="145">
        <f t="shared" si="2"/>
        <v>0.96281245355191258</v>
      </c>
      <c r="O22" s="123">
        <v>2021</v>
      </c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</row>
    <row r="23" spans="1:28" ht="14">
      <c r="A23" s="141"/>
      <c r="B23" s="170"/>
      <c r="C23" s="170"/>
      <c r="D23" s="170"/>
      <c r="E23" s="170"/>
      <c r="F23" s="170"/>
      <c r="G23" s="143"/>
      <c r="H23" s="143"/>
      <c r="I23" s="143"/>
      <c r="J23" s="143"/>
      <c r="K23" s="143"/>
      <c r="L23" s="144">
        <f t="shared" si="1"/>
        <v>0</v>
      </c>
      <c r="M23" s="144">
        <f t="shared" si="3"/>
        <v>176194679</v>
      </c>
      <c r="N23" s="145">
        <f t="shared" si="2"/>
        <v>0.96281245355191258</v>
      </c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</row>
    <row r="24" spans="1:28" ht="14">
      <c r="A24" s="141"/>
      <c r="B24" s="168"/>
      <c r="C24" s="168"/>
      <c r="D24" s="168"/>
      <c r="E24" s="168"/>
      <c r="F24" s="168"/>
      <c r="G24" s="143"/>
      <c r="H24" s="143"/>
      <c r="I24" s="143"/>
      <c r="J24" s="143"/>
      <c r="K24" s="143"/>
      <c r="L24" s="144">
        <f t="shared" si="1"/>
        <v>0</v>
      </c>
      <c r="M24" s="144">
        <f t="shared" si="3"/>
        <v>176194679</v>
      </c>
      <c r="N24" s="145">
        <f t="shared" si="2"/>
        <v>0.96281245355191258</v>
      </c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</row>
    <row r="25" spans="1:28" ht="14">
      <c r="A25" s="139" t="s">
        <v>11</v>
      </c>
      <c r="B25" s="138">
        <f t="shared" ref="B25:L25" si="4">SUM(B13:B24)</f>
        <v>37000000</v>
      </c>
      <c r="C25" s="138">
        <f t="shared" si="4"/>
        <v>4000000</v>
      </c>
      <c r="D25" s="138">
        <f t="shared" si="4"/>
        <v>12000000</v>
      </c>
      <c r="E25" s="138">
        <f t="shared" si="4"/>
        <v>18000000</v>
      </c>
      <c r="F25" s="138">
        <f t="shared" si="4"/>
        <v>51000000</v>
      </c>
      <c r="G25" s="138">
        <f t="shared" si="4"/>
        <v>18494931</v>
      </c>
      <c r="H25" s="138">
        <f t="shared" si="4"/>
        <v>2000000</v>
      </c>
      <c r="I25" s="138">
        <f t="shared" si="4"/>
        <v>6000000</v>
      </c>
      <c r="J25" s="138">
        <f t="shared" si="4"/>
        <v>2199748</v>
      </c>
      <c r="K25" s="138">
        <f t="shared" si="4"/>
        <v>25500000</v>
      </c>
      <c r="L25" s="138">
        <f t="shared" si="4"/>
        <v>176194679</v>
      </c>
      <c r="M25" s="140"/>
      <c r="N25" s="140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</row>
    <row r="26" spans="1:28" ht="14">
      <c r="A26" s="139" t="s">
        <v>256</v>
      </c>
      <c r="B26" s="138">
        <f t="shared" ref="B26:K26" si="5">B10-B25</f>
        <v>0</v>
      </c>
      <c r="C26" s="138">
        <f t="shared" si="5"/>
        <v>0</v>
      </c>
      <c r="D26" s="138">
        <f t="shared" si="5"/>
        <v>0</v>
      </c>
      <c r="E26" s="138">
        <f t="shared" si="5"/>
        <v>0</v>
      </c>
      <c r="F26" s="138">
        <f t="shared" si="5"/>
        <v>0</v>
      </c>
      <c r="G26" s="138">
        <f t="shared" si="5"/>
        <v>5069</v>
      </c>
      <c r="H26" s="138">
        <f t="shared" si="5"/>
        <v>0</v>
      </c>
      <c r="I26" s="138">
        <f t="shared" si="5"/>
        <v>0</v>
      </c>
      <c r="J26" s="138">
        <f t="shared" si="5"/>
        <v>6800252</v>
      </c>
      <c r="K26" s="138">
        <f t="shared" si="5"/>
        <v>0</v>
      </c>
      <c r="L26" s="144"/>
      <c r="M26" s="140"/>
      <c r="N26" s="140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</row>
    <row r="27" spans="1:28" ht="14">
      <c r="A27" s="139" t="s">
        <v>257</v>
      </c>
      <c r="B27" s="154">
        <f t="shared" ref="B27:F27" si="6">B26+G26</f>
        <v>5069</v>
      </c>
      <c r="C27" s="154">
        <f t="shared" si="6"/>
        <v>0</v>
      </c>
      <c r="D27" s="154">
        <f t="shared" si="6"/>
        <v>0</v>
      </c>
      <c r="E27" s="154">
        <f t="shared" si="6"/>
        <v>6800252</v>
      </c>
      <c r="F27" s="154">
        <f t="shared" si="6"/>
        <v>0</v>
      </c>
      <c r="G27" s="154"/>
      <c r="H27" s="154"/>
      <c r="I27" s="154"/>
      <c r="J27" s="154"/>
      <c r="K27" s="154"/>
      <c r="L27" s="175"/>
      <c r="M27" s="156"/>
      <c r="N27" s="156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</row>
    <row r="28" spans="1:28" ht="14">
      <c r="A28" s="139" t="s">
        <v>13</v>
      </c>
      <c r="B28" s="373">
        <f>SUM(B26:K26)</f>
        <v>6805321</v>
      </c>
      <c r="C28" s="342"/>
      <c r="D28" s="342"/>
      <c r="E28" s="342"/>
      <c r="F28" s="342"/>
      <c r="G28" s="342"/>
      <c r="H28" s="342"/>
      <c r="I28" s="342"/>
      <c r="J28" s="342"/>
      <c r="K28" s="343"/>
      <c r="L28" s="175">
        <v>173156021</v>
      </c>
      <c r="M28" s="156"/>
      <c r="N28" s="156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</row>
    <row r="29" spans="1:28" ht="14">
      <c r="A29" s="176" t="s">
        <v>287</v>
      </c>
      <c r="B29" s="177"/>
      <c r="C29" s="177">
        <v>128670</v>
      </c>
      <c r="D29" s="177">
        <v>7190</v>
      </c>
      <c r="E29" s="177">
        <v>6992597</v>
      </c>
      <c r="F29" s="177">
        <v>5494854</v>
      </c>
      <c r="G29" s="177">
        <v>3658732</v>
      </c>
      <c r="H29" s="177"/>
      <c r="I29" s="177"/>
      <c r="J29" s="177">
        <v>2468937</v>
      </c>
      <c r="K29" s="177"/>
      <c r="L29" s="160">
        <f>L25-L28</f>
        <v>3038658</v>
      </c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</row>
    <row r="30" spans="1:28" ht="17.5">
      <c r="A30" s="123"/>
      <c r="B30" s="123"/>
      <c r="C30" s="123"/>
      <c r="D30" s="178" t="s">
        <v>288</v>
      </c>
      <c r="E30" s="123"/>
      <c r="F30" s="123"/>
      <c r="G30" s="123"/>
      <c r="H30" s="123"/>
      <c r="I30" s="123"/>
      <c r="J30" s="123"/>
      <c r="K30" s="123"/>
      <c r="L30" s="175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</row>
    <row r="31" spans="1:28" ht="14">
      <c r="A31" s="123"/>
      <c r="B31" s="123"/>
      <c r="C31" s="123">
        <v>8220020</v>
      </c>
      <c r="D31" s="160">
        <f>C17+E17</f>
        <v>3896611</v>
      </c>
      <c r="E31" s="123"/>
      <c r="F31" s="123">
        <v>109123654</v>
      </c>
      <c r="G31" s="123"/>
      <c r="H31" s="123"/>
      <c r="I31" s="123">
        <v>183000000</v>
      </c>
      <c r="J31" s="163">
        <v>1</v>
      </c>
      <c r="K31" s="123"/>
      <c r="L31" s="175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</row>
    <row r="32" spans="1:28" ht="14">
      <c r="A32" s="123"/>
      <c r="B32" s="123"/>
      <c r="C32" s="123"/>
      <c r="D32" s="160">
        <f>C31-D31</f>
        <v>4323409</v>
      </c>
      <c r="E32" s="123"/>
      <c r="F32" s="123">
        <v>105614483</v>
      </c>
      <c r="G32" s="123"/>
      <c r="H32" s="123"/>
      <c r="I32" s="160">
        <f>B28</f>
        <v>6805321</v>
      </c>
      <c r="J32" s="179">
        <f>(I32*J31)/I31</f>
        <v>3.718754644808743E-2</v>
      </c>
      <c r="K32" s="123"/>
      <c r="L32" s="175">
        <v>20806096</v>
      </c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</row>
    <row r="33" spans="1:28" ht="14">
      <c r="A33" s="123"/>
      <c r="B33" s="123"/>
      <c r="C33" s="123"/>
      <c r="D33" s="148">
        <f>D32/2</f>
        <v>2161704.5</v>
      </c>
      <c r="E33" s="123"/>
      <c r="F33" s="123">
        <f>F31-F32</f>
        <v>3509171</v>
      </c>
      <c r="G33" s="123"/>
      <c r="H33" s="123"/>
      <c r="I33" s="123"/>
      <c r="J33" s="123"/>
      <c r="K33" s="123"/>
      <c r="L33" s="175">
        <f>L18-L32</f>
        <v>3038658</v>
      </c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</row>
    <row r="34" spans="1:28" ht="14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75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</row>
    <row r="35" spans="1:28" ht="14">
      <c r="A35" s="123"/>
      <c r="B35" s="123"/>
      <c r="C35" s="123"/>
      <c r="D35" s="123"/>
      <c r="E35" s="123"/>
      <c r="F35" s="160">
        <f>F26+D26</f>
        <v>0</v>
      </c>
      <c r="G35" s="123"/>
      <c r="H35" s="123"/>
      <c r="I35" s="123"/>
      <c r="J35" s="123"/>
      <c r="K35" s="123"/>
      <c r="L35" s="175">
        <v>9843979</v>
      </c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</row>
    <row r="36" spans="1:28" ht="14">
      <c r="A36" s="123"/>
      <c r="B36" s="123"/>
      <c r="C36" s="123"/>
      <c r="D36" s="123"/>
      <c r="E36" s="123"/>
      <c r="F36" s="147">
        <v>20806096</v>
      </c>
      <c r="G36" s="123" t="s">
        <v>289</v>
      </c>
      <c r="H36" s="123"/>
      <c r="I36" s="123"/>
      <c r="J36" s="123"/>
      <c r="K36" s="123"/>
      <c r="L36" s="158">
        <f>L35-B28</f>
        <v>3038658</v>
      </c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</row>
    <row r="37" spans="1:28" ht="14">
      <c r="A37" s="123"/>
      <c r="B37" s="123"/>
      <c r="C37" s="123"/>
      <c r="D37" s="123"/>
      <c r="E37" s="123"/>
      <c r="F37" s="147">
        <v>3038658</v>
      </c>
      <c r="G37" s="123" t="s">
        <v>289</v>
      </c>
      <c r="H37" s="123"/>
      <c r="I37" s="160">
        <f>D26</f>
        <v>0</v>
      </c>
      <c r="J37" s="123" t="s">
        <v>290</v>
      </c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</row>
    <row r="38" spans="1:28" ht="14">
      <c r="A38" s="123"/>
      <c r="B38" s="123"/>
      <c r="C38" s="123"/>
      <c r="D38" s="123"/>
      <c r="E38" s="123"/>
      <c r="F38" s="147">
        <v>2652220</v>
      </c>
      <c r="G38" s="123" t="s">
        <v>291</v>
      </c>
      <c r="H38" s="123"/>
      <c r="I38" s="147">
        <f>F38</f>
        <v>2652220</v>
      </c>
      <c r="J38" s="123" t="s">
        <v>292</v>
      </c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</row>
    <row r="39" spans="1:28" ht="14">
      <c r="A39" s="123"/>
      <c r="B39" s="123"/>
      <c r="C39" s="123"/>
      <c r="D39" s="123"/>
      <c r="E39" s="123"/>
      <c r="F39" s="180">
        <v>2000000</v>
      </c>
      <c r="G39" s="181" t="s">
        <v>293</v>
      </c>
      <c r="H39" s="123"/>
      <c r="I39" s="182">
        <v>10010480</v>
      </c>
      <c r="J39" s="123" t="s">
        <v>294</v>
      </c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</row>
    <row r="40" spans="1:28" ht="14">
      <c r="A40" s="123"/>
      <c r="B40" s="123"/>
      <c r="C40" s="123"/>
      <c r="D40" s="123"/>
      <c r="E40" s="123"/>
      <c r="F40" s="180">
        <v>3000000</v>
      </c>
      <c r="G40" s="181" t="s">
        <v>295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</row>
    <row r="41" spans="1:28" ht="14">
      <c r="A41" s="123"/>
      <c r="B41" s="123"/>
      <c r="C41" s="123"/>
      <c r="D41" s="123"/>
      <c r="E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</row>
    <row r="42" spans="1:28" ht="14">
      <c r="A42" s="123"/>
      <c r="B42" s="123"/>
      <c r="C42" s="123"/>
      <c r="D42" s="123"/>
      <c r="E42" s="123"/>
      <c r="F42" s="147">
        <f>F36+F37+F38+F39+F40</f>
        <v>31496974</v>
      </c>
      <c r="G42" s="123" t="s">
        <v>15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</row>
    <row r="43" spans="1:28" ht="14">
      <c r="A43" s="123"/>
      <c r="B43" s="123"/>
      <c r="C43" s="123"/>
      <c r="D43" s="123"/>
      <c r="E43" s="123"/>
      <c r="F43" s="160">
        <f>F35-F42</f>
        <v>-31496974</v>
      </c>
      <c r="G43" s="123" t="s">
        <v>16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</row>
    <row r="44" spans="1:28" ht="14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</row>
    <row r="45" spans="1:28" ht="14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</row>
    <row r="46" spans="1:28" ht="14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</row>
    <row r="47" spans="1:28" ht="14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</row>
    <row r="48" spans="1:28" ht="14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</row>
    <row r="49" spans="1:28" ht="14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</row>
    <row r="50" spans="1:28" ht="14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</row>
    <row r="51" spans="1:28" ht="14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</row>
    <row r="52" spans="1:28" ht="1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</row>
    <row r="53" spans="1:28" ht="14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</row>
    <row r="54" spans="1:28" ht="14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</row>
    <row r="55" spans="1:28" ht="14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</row>
    <row r="56" spans="1:28" ht="14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</row>
    <row r="57" spans="1:28" ht="14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</row>
    <row r="58" spans="1:28" ht="14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</row>
    <row r="59" spans="1:28" ht="1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</row>
    <row r="60" spans="1:28" ht="14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</row>
    <row r="61" spans="1:28" ht="14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</row>
    <row r="62" spans="1:28" ht="14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</row>
    <row r="63" spans="1:28" ht="14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</row>
    <row r="64" spans="1:28" ht="14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</row>
    <row r="65" spans="1:28" ht="14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</row>
    <row r="66" spans="1:28" ht="14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</row>
    <row r="67" spans="1:28" ht="14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</row>
    <row r="68" spans="1:28" ht="14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</row>
    <row r="69" spans="1:28" ht="14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</row>
    <row r="70" spans="1:28" ht="14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</row>
    <row r="71" spans="1:28" ht="14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</row>
    <row r="72" spans="1:28" ht="14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</row>
    <row r="73" spans="1:28" ht="14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</row>
    <row r="74" spans="1:28" ht="14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</row>
    <row r="75" spans="1:28" ht="14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</row>
    <row r="76" spans="1:28" ht="14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</row>
    <row r="77" spans="1:28" ht="14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</row>
    <row r="78" spans="1:28" ht="14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</row>
    <row r="79" spans="1:28" ht="14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</row>
    <row r="80" spans="1:28" ht="14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</row>
    <row r="81" spans="1:28" ht="14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</row>
    <row r="82" spans="1:28" ht="14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</row>
    <row r="83" spans="1:28" ht="14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</row>
    <row r="84" spans="1:28" ht="14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</row>
    <row r="85" spans="1:28" ht="14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</row>
    <row r="86" spans="1:28" ht="14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</row>
    <row r="87" spans="1:28" ht="14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</row>
    <row r="88" spans="1:28" ht="14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</row>
    <row r="89" spans="1:28" ht="14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</row>
    <row r="90" spans="1:28" ht="14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</row>
    <row r="91" spans="1:28" ht="14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</row>
    <row r="92" spans="1:28" ht="14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</row>
    <row r="93" spans="1:28" ht="14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</row>
    <row r="94" spans="1:28" ht="14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</row>
    <row r="95" spans="1:28" ht="14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</row>
    <row r="96" spans="1:28" ht="14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</row>
    <row r="97" spans="1:28" ht="14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</row>
    <row r="98" spans="1:28" ht="14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</row>
    <row r="99" spans="1:28" ht="14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</row>
    <row r="100" spans="1:28" ht="14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</row>
    <row r="101" spans="1:28" ht="14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</row>
    <row r="102" spans="1:28" ht="14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</row>
    <row r="103" spans="1:28" ht="14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</row>
    <row r="104" spans="1:28" ht="14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</row>
    <row r="105" spans="1:28" ht="14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</row>
    <row r="106" spans="1:28" ht="14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</row>
    <row r="107" spans="1:28" ht="14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</row>
    <row r="108" spans="1:28" ht="14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</row>
    <row r="109" spans="1:28" ht="14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</row>
    <row r="110" spans="1:28" ht="14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</row>
    <row r="111" spans="1:28" ht="14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</row>
    <row r="112" spans="1:28" ht="14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</row>
    <row r="113" spans="1:28" ht="14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</row>
    <row r="114" spans="1:28" ht="14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</row>
    <row r="115" spans="1:28" ht="14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</row>
    <row r="116" spans="1:28" ht="14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</row>
    <row r="117" spans="1:28" ht="14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</row>
    <row r="118" spans="1:28" ht="14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</row>
    <row r="119" spans="1:28" ht="14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</row>
    <row r="120" spans="1:28" ht="14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</row>
    <row r="121" spans="1:28" ht="14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</row>
    <row r="122" spans="1:28" ht="14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</row>
    <row r="123" spans="1:28" ht="14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</row>
    <row r="124" spans="1:28" ht="14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</row>
    <row r="125" spans="1:28" ht="14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</row>
    <row r="126" spans="1:28" ht="14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</row>
    <row r="127" spans="1:28" ht="14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</row>
    <row r="128" spans="1:28" ht="14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</row>
    <row r="129" spans="1:28" ht="14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</row>
    <row r="130" spans="1:28" ht="14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</row>
    <row r="131" spans="1:28" ht="14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</row>
    <row r="132" spans="1:28" ht="14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</row>
    <row r="133" spans="1:28" ht="14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</row>
    <row r="134" spans="1:28" ht="14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</row>
    <row r="135" spans="1:28" ht="14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</row>
    <row r="136" spans="1:28" ht="14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</row>
    <row r="137" spans="1:28" ht="14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</row>
    <row r="138" spans="1:28" ht="14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</row>
    <row r="139" spans="1:28" ht="14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</row>
    <row r="140" spans="1:28" ht="14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</row>
    <row r="141" spans="1:28" ht="14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</row>
    <row r="142" spans="1:28" ht="14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</row>
    <row r="143" spans="1:28" ht="14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</row>
    <row r="144" spans="1:28" ht="14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</row>
    <row r="145" spans="1:28" ht="14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</row>
    <row r="146" spans="1:28" ht="14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</row>
    <row r="147" spans="1:28" ht="14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</row>
    <row r="148" spans="1:28" ht="14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</row>
    <row r="149" spans="1:28" ht="14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</row>
    <row r="150" spans="1:28" ht="14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</row>
    <row r="151" spans="1:28" ht="14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</row>
    <row r="152" spans="1:28" ht="14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</row>
    <row r="153" spans="1:28" ht="14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</row>
    <row r="154" spans="1:28" ht="14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</row>
    <row r="155" spans="1:28" ht="14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</row>
    <row r="156" spans="1:28" ht="14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</row>
    <row r="157" spans="1:28" ht="14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</row>
    <row r="158" spans="1:28" ht="14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</row>
    <row r="159" spans="1:28" ht="14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</row>
    <row r="160" spans="1:28" ht="14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</row>
    <row r="161" spans="1:28" ht="14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</row>
    <row r="162" spans="1:28" ht="14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</row>
    <row r="163" spans="1:28" ht="14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</row>
    <row r="164" spans="1:28" ht="14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</row>
    <row r="165" spans="1:28" ht="14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</row>
    <row r="166" spans="1:28" ht="14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</row>
    <row r="167" spans="1:28" ht="14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</row>
    <row r="168" spans="1:28" ht="14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</row>
    <row r="169" spans="1:28" ht="14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</row>
    <row r="170" spans="1:28" ht="14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</row>
    <row r="171" spans="1:28" ht="14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</row>
    <row r="172" spans="1:28" ht="14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</row>
    <row r="173" spans="1:28" ht="14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</row>
    <row r="174" spans="1:28" ht="14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</row>
    <row r="175" spans="1:28" ht="14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</row>
    <row r="176" spans="1:28" ht="14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</row>
    <row r="177" spans="1:28" ht="14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</row>
    <row r="178" spans="1:28" ht="14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</row>
    <row r="179" spans="1:28" ht="14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</row>
    <row r="180" spans="1:28" ht="14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</row>
    <row r="181" spans="1:28" ht="14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</row>
    <row r="182" spans="1:28" ht="14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</row>
    <row r="183" spans="1:28" ht="14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</row>
    <row r="184" spans="1:28" ht="14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</row>
    <row r="185" spans="1:28" ht="14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</row>
    <row r="186" spans="1:28" ht="14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</row>
    <row r="187" spans="1:28" ht="14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</row>
    <row r="188" spans="1:28" ht="14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</row>
    <row r="189" spans="1:28" ht="14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</row>
    <row r="190" spans="1:28" ht="14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</row>
    <row r="191" spans="1:28" ht="14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</row>
    <row r="192" spans="1:28" ht="14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</row>
    <row r="193" spans="1:28" ht="14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</row>
    <row r="194" spans="1:28" ht="14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</row>
    <row r="195" spans="1:28" ht="14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</row>
    <row r="196" spans="1:28" ht="14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</row>
    <row r="197" spans="1:28" ht="14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</row>
    <row r="198" spans="1:28" ht="14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</row>
    <row r="199" spans="1:28" ht="14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</row>
    <row r="200" spans="1:28" ht="14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</row>
    <row r="201" spans="1:28" ht="14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</row>
    <row r="202" spans="1:28" ht="14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</row>
    <row r="203" spans="1:28" ht="14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</row>
    <row r="204" spans="1:28" ht="14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</row>
    <row r="205" spans="1:28" ht="14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</row>
    <row r="206" spans="1:28" ht="14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</row>
    <row r="207" spans="1:28" ht="14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</row>
    <row r="208" spans="1:28" ht="14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</row>
    <row r="209" spans="1:28" ht="14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</row>
    <row r="210" spans="1:28" ht="14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</row>
    <row r="211" spans="1:28" ht="14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</row>
    <row r="212" spans="1:28" ht="14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</row>
    <row r="213" spans="1:28" ht="14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</row>
    <row r="214" spans="1:28" ht="14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</row>
    <row r="215" spans="1:28" ht="14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</row>
    <row r="216" spans="1:28" ht="14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</row>
    <row r="217" spans="1:28" ht="14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</row>
    <row r="218" spans="1:28" ht="14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</row>
    <row r="219" spans="1:28" ht="14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</row>
    <row r="220" spans="1:28" ht="14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</row>
    <row r="221" spans="1:28" ht="14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</row>
    <row r="222" spans="1:28" ht="14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</row>
    <row r="223" spans="1:28" ht="14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</row>
    <row r="224" spans="1:28" ht="14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</row>
    <row r="225" spans="1:28" ht="14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</row>
    <row r="226" spans="1:28" ht="14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</row>
    <row r="227" spans="1:28" ht="14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</row>
    <row r="228" spans="1:28" ht="14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</row>
    <row r="229" spans="1:28" ht="14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</row>
    <row r="230" spans="1:28" ht="14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</row>
    <row r="231" spans="1:28" ht="14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</row>
    <row r="232" spans="1:28" ht="14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</row>
    <row r="233" spans="1:28" ht="14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</row>
    <row r="234" spans="1:28" ht="14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</row>
    <row r="235" spans="1:28" ht="14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</row>
    <row r="236" spans="1:28" ht="14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</row>
    <row r="237" spans="1:28" ht="14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</row>
    <row r="238" spans="1:28" ht="14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</row>
    <row r="239" spans="1:28" ht="14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</row>
    <row r="240" spans="1:28" ht="14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</row>
    <row r="241" spans="1:28" ht="14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</row>
    <row r="242" spans="1:28" ht="14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</row>
    <row r="243" spans="1:28" ht="14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</row>
    <row r="244" spans="1:28" ht="14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</row>
    <row r="245" spans="1:28" ht="14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</row>
    <row r="246" spans="1:28" ht="14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</row>
    <row r="247" spans="1:28" ht="14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</row>
    <row r="248" spans="1:28" ht="14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</row>
    <row r="249" spans="1:28" ht="14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</row>
    <row r="250" spans="1:28" ht="14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</row>
    <row r="251" spans="1:28" ht="14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</row>
    <row r="252" spans="1:28" ht="14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</row>
    <row r="253" spans="1:28" ht="14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</row>
    <row r="254" spans="1:28" ht="14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</row>
    <row r="255" spans="1:28" ht="14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</row>
    <row r="256" spans="1:28" ht="14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</row>
    <row r="257" spans="1:28" ht="14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</row>
    <row r="258" spans="1:28" ht="14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</row>
    <row r="259" spans="1:28" ht="14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</row>
    <row r="260" spans="1:28" ht="14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</row>
    <row r="261" spans="1:28" ht="14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</row>
    <row r="262" spans="1:28" ht="14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</row>
    <row r="263" spans="1:28" ht="14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</row>
    <row r="264" spans="1:28" ht="14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</row>
    <row r="265" spans="1:28" ht="14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</row>
    <row r="266" spans="1:28" ht="14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</row>
    <row r="267" spans="1:28" ht="14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</row>
    <row r="268" spans="1:28" ht="14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</row>
    <row r="269" spans="1:28" ht="14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</row>
    <row r="270" spans="1:28" ht="14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</row>
    <row r="271" spans="1:28" ht="14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</row>
    <row r="272" spans="1:28" ht="14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</row>
    <row r="273" spans="1:28" ht="14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</row>
    <row r="274" spans="1:28" ht="14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</row>
    <row r="275" spans="1:28" ht="14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</row>
    <row r="276" spans="1:28" ht="14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</row>
    <row r="277" spans="1:28" ht="14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</row>
    <row r="278" spans="1:28" ht="14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</row>
    <row r="279" spans="1:28" ht="14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</row>
    <row r="280" spans="1:28" ht="14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</row>
    <row r="281" spans="1:28" ht="14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</row>
    <row r="282" spans="1:28" ht="14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</row>
    <row r="283" spans="1:28" ht="14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</row>
    <row r="284" spans="1:28" ht="14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</row>
    <row r="285" spans="1:28" ht="14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</row>
    <row r="286" spans="1:28" ht="14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</row>
    <row r="287" spans="1:28" ht="14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</row>
    <row r="288" spans="1:28" ht="14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</row>
    <row r="289" spans="1:28" ht="14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</row>
    <row r="290" spans="1:28" ht="14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</row>
    <row r="291" spans="1:28" ht="14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</row>
    <row r="292" spans="1:28" ht="14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</row>
    <row r="293" spans="1:28" ht="14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</row>
    <row r="294" spans="1:28" ht="14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</row>
    <row r="295" spans="1:28" ht="14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</row>
    <row r="296" spans="1:28" ht="14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</row>
    <row r="297" spans="1:28" ht="14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</row>
    <row r="298" spans="1:28" ht="14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</row>
    <row r="299" spans="1:28" ht="14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</row>
    <row r="300" spans="1:28" ht="14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</row>
    <row r="301" spans="1:28" ht="14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</row>
    <row r="302" spans="1:28" ht="14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</row>
    <row r="303" spans="1:28" ht="14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</row>
    <row r="304" spans="1:28" ht="14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</row>
    <row r="305" spans="1:28" ht="14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</row>
    <row r="306" spans="1:28" ht="14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</row>
    <row r="307" spans="1:28" ht="14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</row>
    <row r="308" spans="1:28" ht="14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</row>
    <row r="309" spans="1:28" ht="14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</row>
    <row r="310" spans="1:28" ht="14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</row>
    <row r="311" spans="1:28" ht="14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</row>
    <row r="312" spans="1:28" ht="14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</row>
    <row r="313" spans="1:28" ht="14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</row>
    <row r="314" spans="1:28" ht="14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</row>
    <row r="315" spans="1:28" ht="14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</row>
    <row r="316" spans="1:28" ht="14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</row>
    <row r="317" spans="1:28" ht="14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</row>
    <row r="318" spans="1:28" ht="14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</row>
    <row r="319" spans="1:28" ht="14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</row>
    <row r="320" spans="1:28" ht="14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</row>
    <row r="321" spans="1:28" ht="14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</row>
    <row r="322" spans="1:28" ht="14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</row>
    <row r="323" spans="1:28" ht="14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</row>
    <row r="324" spans="1:28" ht="14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</row>
    <row r="325" spans="1:28" ht="14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</row>
    <row r="326" spans="1:28" ht="14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</row>
    <row r="327" spans="1:28" ht="14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</row>
    <row r="328" spans="1:28" ht="14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</row>
    <row r="329" spans="1:28" ht="14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</row>
    <row r="330" spans="1:28" ht="14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</row>
    <row r="331" spans="1:28" ht="14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</row>
    <row r="332" spans="1:28" ht="14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</row>
    <row r="333" spans="1:28" ht="14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</row>
    <row r="334" spans="1:28" ht="14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</row>
    <row r="335" spans="1:28" ht="14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</row>
    <row r="336" spans="1:28" ht="14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  <c r="AA336" s="123"/>
      <c r="AB336" s="123"/>
    </row>
    <row r="337" spans="1:28" ht="14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  <c r="AA337" s="123"/>
      <c r="AB337" s="123"/>
    </row>
    <row r="338" spans="1:28" ht="14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  <c r="AB338" s="123"/>
    </row>
    <row r="339" spans="1:28" ht="14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</row>
    <row r="340" spans="1:28" ht="14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  <c r="AB340" s="123"/>
    </row>
    <row r="341" spans="1:28" ht="14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</row>
    <row r="342" spans="1:28" ht="14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  <c r="AA342" s="123"/>
      <c r="AB342" s="123"/>
    </row>
    <row r="343" spans="1:28" ht="14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</row>
    <row r="344" spans="1:28" ht="14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</row>
    <row r="345" spans="1:28" ht="14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  <c r="AA345" s="123"/>
      <c r="AB345" s="123"/>
    </row>
    <row r="346" spans="1:28" ht="14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</row>
    <row r="347" spans="1:28" ht="14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</row>
    <row r="348" spans="1:28" ht="14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  <c r="AB348" s="123"/>
    </row>
    <row r="349" spans="1:28" ht="14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  <c r="AA349" s="123"/>
      <c r="AB349" s="123"/>
    </row>
    <row r="350" spans="1:28" ht="14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  <c r="AA350" s="123"/>
      <c r="AB350" s="123"/>
    </row>
    <row r="351" spans="1:28" ht="14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</row>
    <row r="352" spans="1:28" ht="14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  <c r="AA352" s="123"/>
      <c r="AB352" s="123"/>
    </row>
    <row r="353" spans="1:28" ht="14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  <c r="AA353" s="123"/>
      <c r="AB353" s="123"/>
    </row>
    <row r="354" spans="1:28" ht="14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  <c r="AA354" s="123"/>
      <c r="AB354" s="123"/>
    </row>
    <row r="355" spans="1:28" ht="14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</row>
    <row r="356" spans="1:28" ht="14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  <c r="AA356" s="123"/>
      <c r="AB356" s="123"/>
    </row>
    <row r="357" spans="1:28" ht="14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</row>
    <row r="358" spans="1:28" ht="14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  <c r="AB358" s="123"/>
    </row>
    <row r="359" spans="1:28" ht="14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  <c r="AA359" s="123"/>
      <c r="AB359" s="123"/>
    </row>
    <row r="360" spans="1:28" ht="14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  <c r="AA360" s="123"/>
      <c r="AB360" s="123"/>
    </row>
    <row r="361" spans="1:28" ht="14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  <c r="AA361" s="123"/>
      <c r="AB361" s="123"/>
    </row>
    <row r="362" spans="1:28" ht="14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  <c r="AA362" s="123"/>
      <c r="AB362" s="123"/>
    </row>
    <row r="363" spans="1:28" ht="14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  <c r="AB363" s="123"/>
    </row>
    <row r="364" spans="1:28" ht="14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  <c r="AA364" s="123"/>
      <c r="AB364" s="123"/>
    </row>
    <row r="365" spans="1:28" ht="14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</row>
    <row r="366" spans="1:28" ht="14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</row>
    <row r="367" spans="1:28" ht="14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  <c r="AA367" s="123"/>
      <c r="AB367" s="123"/>
    </row>
    <row r="368" spans="1:28" ht="14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  <c r="AA368" s="123"/>
      <c r="AB368" s="123"/>
    </row>
    <row r="369" spans="1:28" ht="14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  <c r="AA369" s="123"/>
      <c r="AB369" s="123"/>
    </row>
    <row r="370" spans="1:28" ht="14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  <c r="AA370" s="123"/>
      <c r="AB370" s="123"/>
    </row>
    <row r="371" spans="1:28" ht="14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</row>
    <row r="372" spans="1:28" ht="14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  <c r="AA372" s="123"/>
      <c r="AB372" s="123"/>
    </row>
    <row r="373" spans="1:28" ht="14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</row>
    <row r="374" spans="1:28" ht="14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</row>
    <row r="375" spans="1:28" ht="14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  <c r="AB375" s="123"/>
    </row>
    <row r="376" spans="1:28" ht="14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23"/>
    </row>
    <row r="377" spans="1:28" ht="14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</row>
    <row r="378" spans="1:28" ht="14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</row>
    <row r="379" spans="1:28" ht="14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</row>
    <row r="380" spans="1:28" ht="14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123"/>
      <c r="AB380" s="123"/>
    </row>
    <row r="381" spans="1:28" ht="14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123"/>
    </row>
    <row r="382" spans="1:28" ht="14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  <c r="AA382" s="123"/>
      <c r="AB382" s="123"/>
    </row>
    <row r="383" spans="1:28" ht="14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</row>
    <row r="384" spans="1:28" ht="14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  <c r="AA384" s="123"/>
      <c r="AB384" s="123"/>
    </row>
    <row r="385" spans="1:28" ht="14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  <c r="AA385" s="123"/>
      <c r="AB385" s="123"/>
    </row>
    <row r="386" spans="1:28" ht="14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  <c r="AA386" s="123"/>
      <c r="AB386" s="123"/>
    </row>
    <row r="387" spans="1:28" ht="14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  <c r="AA387" s="123"/>
      <c r="AB387" s="123"/>
    </row>
    <row r="388" spans="1:28" ht="14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  <c r="AA388" s="123"/>
      <c r="AB388" s="123"/>
    </row>
    <row r="389" spans="1:28" ht="14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  <c r="AA389" s="123"/>
      <c r="AB389" s="123"/>
    </row>
    <row r="390" spans="1:28" ht="14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  <c r="AA390" s="123"/>
      <c r="AB390" s="123"/>
    </row>
    <row r="391" spans="1:28" ht="14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</row>
    <row r="392" spans="1:28" ht="14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  <c r="AA392" s="123"/>
      <c r="AB392" s="123"/>
    </row>
    <row r="393" spans="1:28" ht="14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  <c r="AA393" s="123"/>
      <c r="AB393" s="123"/>
    </row>
    <row r="394" spans="1:28" ht="14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</row>
    <row r="395" spans="1:28" ht="14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  <c r="AA395" s="123"/>
      <c r="AB395" s="123"/>
    </row>
    <row r="396" spans="1:28" ht="14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  <c r="AB396" s="123"/>
    </row>
    <row r="397" spans="1:28" ht="14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  <c r="AA397" s="123"/>
      <c r="AB397" s="123"/>
    </row>
    <row r="398" spans="1:28" ht="14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  <c r="AA398" s="123"/>
      <c r="AB398" s="123"/>
    </row>
    <row r="399" spans="1:28" ht="14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  <c r="AA399" s="123"/>
      <c r="AB399" s="123"/>
    </row>
    <row r="400" spans="1:28" ht="14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  <c r="AA400" s="123"/>
      <c r="AB400" s="123"/>
    </row>
    <row r="401" spans="1:28" ht="14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</row>
    <row r="402" spans="1:28" ht="14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  <c r="AA402" s="123"/>
      <c r="AB402" s="123"/>
    </row>
    <row r="403" spans="1:28" ht="14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</row>
    <row r="404" spans="1:28" ht="14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</row>
    <row r="405" spans="1:28" ht="14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</row>
    <row r="406" spans="1:28" ht="14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  <c r="AB406" s="123"/>
    </row>
    <row r="407" spans="1:28" ht="14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  <c r="AB407" s="123"/>
    </row>
    <row r="408" spans="1:28" ht="14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  <c r="AA408" s="123"/>
      <c r="AB408" s="123"/>
    </row>
    <row r="409" spans="1:28" ht="14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  <c r="AA409" s="123"/>
      <c r="AB409" s="123"/>
    </row>
    <row r="410" spans="1:28" ht="14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  <c r="AA410" s="123"/>
      <c r="AB410" s="123"/>
    </row>
    <row r="411" spans="1:28" ht="14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  <c r="AA411" s="123"/>
      <c r="AB411" s="123"/>
    </row>
    <row r="412" spans="1:28" ht="14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  <c r="AB412" s="123"/>
    </row>
    <row r="413" spans="1:28" ht="14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</row>
    <row r="414" spans="1:28" ht="14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</row>
    <row r="415" spans="1:28" ht="14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</row>
    <row r="416" spans="1:28" ht="14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  <c r="AA416" s="123"/>
      <c r="AB416" s="123"/>
    </row>
    <row r="417" spans="1:28" ht="14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  <c r="AA417" s="123"/>
      <c r="AB417" s="123"/>
    </row>
    <row r="418" spans="1:28" ht="14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  <c r="AA418" s="123"/>
      <c r="AB418" s="123"/>
    </row>
    <row r="419" spans="1:28" ht="14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  <c r="AA419" s="123"/>
      <c r="AB419" s="123"/>
    </row>
    <row r="420" spans="1:28" ht="14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  <c r="AB420" s="123"/>
    </row>
    <row r="421" spans="1:28" ht="14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  <c r="AA421" s="123"/>
      <c r="AB421" s="123"/>
    </row>
    <row r="422" spans="1:28" ht="14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  <c r="AA422" s="123"/>
      <c r="AB422" s="123"/>
    </row>
    <row r="423" spans="1:28" ht="14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  <c r="AA423" s="123"/>
      <c r="AB423" s="123"/>
    </row>
    <row r="424" spans="1:28" ht="14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  <c r="AA424" s="123"/>
      <c r="AB424" s="123"/>
    </row>
    <row r="425" spans="1:28" ht="14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  <c r="AA425" s="123"/>
      <c r="AB425" s="123"/>
    </row>
    <row r="426" spans="1:28" ht="14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  <c r="AA426" s="123"/>
      <c r="AB426" s="123"/>
    </row>
    <row r="427" spans="1:28" ht="14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</row>
    <row r="428" spans="1:28" ht="14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</row>
    <row r="429" spans="1:28" ht="14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</row>
    <row r="430" spans="1:28" ht="14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</row>
    <row r="431" spans="1:28" ht="14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</row>
    <row r="432" spans="1:28" ht="14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</row>
    <row r="433" spans="1:28" ht="14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123"/>
      <c r="AB433" s="123"/>
    </row>
    <row r="434" spans="1:28" ht="14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  <c r="AB434" s="123"/>
    </row>
    <row r="435" spans="1:28" ht="14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  <c r="AB435" s="123"/>
    </row>
    <row r="436" spans="1:28" ht="14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  <c r="AA436" s="123"/>
      <c r="AB436" s="123"/>
    </row>
    <row r="437" spans="1:28" ht="14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  <c r="AB437" s="123"/>
    </row>
    <row r="438" spans="1:28" ht="14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  <c r="AB438" s="123"/>
    </row>
    <row r="439" spans="1:28" ht="14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  <c r="AA439" s="123"/>
      <c r="AB439" s="123"/>
    </row>
    <row r="440" spans="1:28" ht="14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  <c r="AA440" s="123"/>
      <c r="AB440" s="123"/>
    </row>
    <row r="441" spans="1:28" ht="14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  <c r="AA441" s="123"/>
      <c r="AB441" s="123"/>
    </row>
    <row r="442" spans="1:28" ht="14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  <c r="AA442" s="123"/>
      <c r="AB442" s="123"/>
    </row>
    <row r="443" spans="1:28" ht="14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  <c r="AA443" s="123"/>
      <c r="AB443" s="123"/>
    </row>
    <row r="444" spans="1:28" ht="14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  <c r="AB444" s="123"/>
    </row>
    <row r="445" spans="1:28" ht="14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</row>
    <row r="446" spans="1:28" ht="14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  <c r="AA446" s="123"/>
      <c r="AB446" s="123"/>
    </row>
    <row r="447" spans="1:28" ht="14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  <c r="AA447" s="123"/>
      <c r="AB447" s="123"/>
    </row>
    <row r="448" spans="1:28" ht="14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  <c r="AA448" s="123"/>
      <c r="AB448" s="123"/>
    </row>
    <row r="449" spans="1:28" ht="14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  <c r="AA449" s="123"/>
      <c r="AB449" s="123"/>
    </row>
    <row r="450" spans="1:28" ht="14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  <c r="AB450" s="123"/>
    </row>
    <row r="451" spans="1:28" ht="14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  <c r="AA451" s="123"/>
      <c r="AB451" s="123"/>
    </row>
    <row r="452" spans="1:28" ht="14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  <c r="AA452" s="123"/>
      <c r="AB452" s="123"/>
    </row>
    <row r="453" spans="1:28" ht="14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  <c r="AB453" s="123"/>
    </row>
    <row r="454" spans="1:28" ht="14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  <c r="AA454" s="123"/>
      <c r="AB454" s="123"/>
    </row>
    <row r="455" spans="1:28" ht="14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  <c r="AA455" s="123"/>
      <c r="AB455" s="123"/>
    </row>
    <row r="456" spans="1:28" ht="14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  <c r="AA456" s="123"/>
      <c r="AB456" s="123"/>
    </row>
    <row r="457" spans="1:28" ht="14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  <c r="AA457" s="123"/>
      <c r="AB457" s="123"/>
    </row>
    <row r="458" spans="1:28" ht="14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  <c r="AB458" s="123"/>
    </row>
    <row r="459" spans="1:28" ht="14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  <c r="AA459" s="123"/>
      <c r="AB459" s="123"/>
    </row>
    <row r="460" spans="1:28" ht="14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  <c r="AA460" s="123"/>
      <c r="AB460" s="123"/>
    </row>
    <row r="461" spans="1:28" ht="14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  <c r="AA461" s="123"/>
      <c r="AB461" s="123"/>
    </row>
    <row r="462" spans="1:28" ht="14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  <c r="AB462" s="123"/>
    </row>
    <row r="463" spans="1:28" ht="14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  <c r="AA463" s="123"/>
      <c r="AB463" s="123"/>
    </row>
    <row r="464" spans="1:28" ht="14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  <c r="AA464" s="123"/>
      <c r="AB464" s="123"/>
    </row>
    <row r="465" spans="1:28" ht="14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  <c r="AA465" s="123"/>
      <c r="AB465" s="123"/>
    </row>
    <row r="466" spans="1:28" ht="14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  <c r="AA466" s="123"/>
      <c r="AB466" s="123"/>
    </row>
    <row r="467" spans="1:28" ht="14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  <c r="AB467" s="123"/>
    </row>
    <row r="468" spans="1:28" ht="14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  <c r="AA468" s="123"/>
      <c r="AB468" s="123"/>
    </row>
    <row r="469" spans="1:28" ht="14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  <c r="AA469" s="123"/>
      <c r="AB469" s="123"/>
    </row>
    <row r="470" spans="1:28" ht="14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  <c r="AA470" s="123"/>
      <c r="AB470" s="123"/>
    </row>
    <row r="471" spans="1:28" ht="14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  <c r="AA471" s="123"/>
      <c r="AB471" s="123"/>
    </row>
    <row r="472" spans="1:28" ht="14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  <c r="AA472" s="123"/>
      <c r="AB472" s="123"/>
    </row>
    <row r="473" spans="1:28" ht="14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  <c r="AA473" s="123"/>
      <c r="AB473" s="123"/>
    </row>
    <row r="474" spans="1:28" ht="14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  <c r="AA474" s="123"/>
      <c r="AB474" s="123"/>
    </row>
    <row r="475" spans="1:28" ht="14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  <c r="AA475" s="123"/>
      <c r="AB475" s="123"/>
    </row>
    <row r="476" spans="1:28" ht="14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  <c r="AA476" s="123"/>
      <c r="AB476" s="123"/>
    </row>
    <row r="477" spans="1:28" ht="14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  <c r="AA477" s="123"/>
      <c r="AB477" s="123"/>
    </row>
    <row r="478" spans="1:28" ht="14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  <c r="AA478" s="123"/>
      <c r="AB478" s="123"/>
    </row>
    <row r="479" spans="1:28" ht="14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  <c r="AA479" s="123"/>
      <c r="AB479" s="123"/>
    </row>
    <row r="480" spans="1:28" ht="14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  <c r="AA480" s="123"/>
      <c r="AB480" s="123"/>
    </row>
    <row r="481" spans="1:28" ht="14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  <c r="AA481" s="123"/>
      <c r="AB481" s="123"/>
    </row>
    <row r="482" spans="1:28" ht="14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  <c r="AA482" s="123"/>
      <c r="AB482" s="123"/>
    </row>
    <row r="483" spans="1:28" ht="14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  <c r="AA483" s="123"/>
      <c r="AB483" s="123"/>
    </row>
    <row r="484" spans="1:28" ht="14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  <c r="AA484" s="123"/>
      <c r="AB484" s="123"/>
    </row>
    <row r="485" spans="1:28" ht="14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  <c r="AB485" s="123"/>
    </row>
    <row r="486" spans="1:28" ht="14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  <c r="AA486" s="123"/>
      <c r="AB486" s="123"/>
    </row>
    <row r="487" spans="1:28" ht="14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  <c r="AA487" s="123"/>
      <c r="AB487" s="123"/>
    </row>
    <row r="488" spans="1:28" ht="14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  <c r="AA488" s="123"/>
      <c r="AB488" s="123"/>
    </row>
    <row r="489" spans="1:28" ht="14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  <c r="AA489" s="123"/>
      <c r="AB489" s="123"/>
    </row>
    <row r="490" spans="1:28" ht="14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  <c r="AA490" s="123"/>
      <c r="AB490" s="123"/>
    </row>
    <row r="491" spans="1:28" ht="14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  <c r="AA491" s="123"/>
      <c r="AB491" s="123"/>
    </row>
    <row r="492" spans="1:28" ht="14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  <c r="AA492" s="123"/>
      <c r="AB492" s="123"/>
    </row>
    <row r="493" spans="1:28" ht="14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  <c r="AA493" s="123"/>
      <c r="AB493" s="123"/>
    </row>
    <row r="494" spans="1:28" ht="14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  <c r="AA494" s="123"/>
      <c r="AB494" s="123"/>
    </row>
    <row r="495" spans="1:28" ht="14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  <c r="AA495" s="123"/>
      <c r="AB495" s="123"/>
    </row>
    <row r="496" spans="1:28" ht="14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  <c r="AA496" s="123"/>
      <c r="AB496" s="123"/>
    </row>
    <row r="497" spans="1:28" ht="14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  <c r="AA497" s="123"/>
      <c r="AB497" s="123"/>
    </row>
    <row r="498" spans="1:28" ht="14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  <c r="AA498" s="123"/>
      <c r="AB498" s="123"/>
    </row>
    <row r="499" spans="1:28" ht="14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  <c r="AA499" s="123"/>
      <c r="AB499" s="123"/>
    </row>
    <row r="500" spans="1:28" ht="14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  <c r="AA500" s="123"/>
      <c r="AB500" s="123"/>
    </row>
    <row r="501" spans="1:28" ht="14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  <c r="AA501" s="123"/>
      <c r="AB501" s="123"/>
    </row>
    <row r="502" spans="1:28" ht="14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  <c r="AA502" s="123"/>
      <c r="AB502" s="123"/>
    </row>
    <row r="503" spans="1:28" ht="14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  <c r="AA503" s="123"/>
      <c r="AB503" s="123"/>
    </row>
    <row r="504" spans="1:28" ht="14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  <c r="AA504" s="123"/>
      <c r="AB504" s="123"/>
    </row>
    <row r="505" spans="1:28" ht="14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  <c r="AA505" s="123"/>
      <c r="AB505" s="123"/>
    </row>
    <row r="506" spans="1:28" ht="14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  <c r="AA506" s="123"/>
      <c r="AB506" s="123"/>
    </row>
    <row r="507" spans="1:28" ht="14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</row>
    <row r="508" spans="1:28" ht="14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  <c r="AA508" s="123"/>
      <c r="AB508" s="123"/>
    </row>
    <row r="509" spans="1:28" ht="14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  <c r="AA509" s="123"/>
      <c r="AB509" s="123"/>
    </row>
    <row r="510" spans="1:28" ht="14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  <c r="AA510" s="123"/>
      <c r="AB510" s="123"/>
    </row>
    <row r="511" spans="1:28" ht="14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  <c r="AA511" s="123"/>
      <c r="AB511" s="123"/>
    </row>
    <row r="512" spans="1:28" ht="14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  <c r="AA512" s="123"/>
      <c r="AB512" s="123"/>
    </row>
    <row r="513" spans="1:28" ht="14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  <c r="AA513" s="123"/>
      <c r="AB513" s="123"/>
    </row>
    <row r="514" spans="1:28" ht="14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  <c r="AA514" s="123"/>
      <c r="AB514" s="123"/>
    </row>
    <row r="515" spans="1:28" ht="14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  <c r="AB515" s="123"/>
    </row>
    <row r="516" spans="1:28" ht="14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  <c r="AA516" s="123"/>
      <c r="AB516" s="123"/>
    </row>
    <row r="517" spans="1:28" ht="14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  <c r="AA517" s="123"/>
      <c r="AB517" s="123"/>
    </row>
    <row r="518" spans="1:28" ht="14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  <c r="AA518" s="123"/>
      <c r="AB518" s="123"/>
    </row>
    <row r="519" spans="1:28" ht="14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  <c r="AA519" s="123"/>
      <c r="AB519" s="123"/>
    </row>
    <row r="520" spans="1:28" ht="14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  <c r="AA520" s="123"/>
      <c r="AB520" s="123"/>
    </row>
    <row r="521" spans="1:28" ht="14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  <c r="AA521" s="123"/>
      <c r="AB521" s="123"/>
    </row>
    <row r="522" spans="1:28" ht="14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  <c r="AA522" s="123"/>
      <c r="AB522" s="123"/>
    </row>
    <row r="523" spans="1:28" ht="14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</row>
    <row r="524" spans="1:28" ht="14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  <c r="AA524" s="123"/>
      <c r="AB524" s="123"/>
    </row>
    <row r="525" spans="1:28" ht="14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  <c r="AA525" s="123"/>
      <c r="AB525" s="123"/>
    </row>
    <row r="526" spans="1:28" ht="14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  <c r="AA526" s="123"/>
      <c r="AB526" s="123"/>
    </row>
    <row r="527" spans="1:28" ht="14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  <c r="AA527" s="123"/>
      <c r="AB527" s="123"/>
    </row>
    <row r="528" spans="1:28" ht="14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  <c r="AA528" s="123"/>
      <c r="AB528" s="123"/>
    </row>
    <row r="529" spans="1:28" ht="14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  <c r="AA529" s="123"/>
      <c r="AB529" s="123"/>
    </row>
    <row r="530" spans="1:28" ht="14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  <c r="AA530" s="123"/>
      <c r="AB530" s="123"/>
    </row>
    <row r="531" spans="1:28" ht="14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</row>
    <row r="532" spans="1:28" ht="14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  <c r="AA532" s="123"/>
      <c r="AB532" s="123"/>
    </row>
    <row r="533" spans="1:28" ht="14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  <c r="AA533" s="123"/>
      <c r="AB533" s="123"/>
    </row>
    <row r="534" spans="1:28" ht="14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  <c r="AA534" s="123"/>
      <c r="AB534" s="123"/>
    </row>
    <row r="535" spans="1:28" ht="14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  <c r="AA535" s="123"/>
      <c r="AB535" s="123"/>
    </row>
    <row r="536" spans="1:28" ht="14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</row>
    <row r="537" spans="1:28" ht="14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  <c r="AA537" s="123"/>
      <c r="AB537" s="123"/>
    </row>
    <row r="538" spans="1:28" ht="14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  <c r="AA538" s="123"/>
      <c r="AB538" s="123"/>
    </row>
    <row r="539" spans="1:28" ht="14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</row>
    <row r="540" spans="1:28" ht="14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  <c r="AA540" s="123"/>
      <c r="AB540" s="123"/>
    </row>
    <row r="541" spans="1:28" ht="14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  <c r="AA541" s="123"/>
      <c r="AB541" s="123"/>
    </row>
    <row r="542" spans="1:28" ht="14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  <c r="AA542" s="123"/>
      <c r="AB542" s="123"/>
    </row>
    <row r="543" spans="1:28" ht="14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  <c r="AA543" s="123"/>
      <c r="AB543" s="123"/>
    </row>
    <row r="544" spans="1:28" ht="14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  <c r="AA544" s="123"/>
      <c r="AB544" s="123"/>
    </row>
    <row r="545" spans="1:28" ht="14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  <c r="AA545" s="123"/>
      <c r="AB545" s="123"/>
    </row>
    <row r="546" spans="1:28" ht="14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  <c r="AA546" s="123"/>
      <c r="AB546" s="123"/>
    </row>
    <row r="547" spans="1:28" ht="14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</row>
    <row r="548" spans="1:28" ht="14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  <c r="AA548" s="123"/>
      <c r="AB548" s="123"/>
    </row>
    <row r="549" spans="1:28" ht="14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  <c r="AA549" s="123"/>
      <c r="AB549" s="123"/>
    </row>
    <row r="550" spans="1:28" ht="14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  <c r="AA550" s="123"/>
      <c r="AB550" s="123"/>
    </row>
    <row r="551" spans="1:28" ht="14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  <c r="AA551" s="123"/>
      <c r="AB551" s="123"/>
    </row>
    <row r="552" spans="1:28" ht="14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</row>
    <row r="553" spans="1:28" ht="14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  <c r="AA553" s="123"/>
      <c r="AB553" s="123"/>
    </row>
    <row r="554" spans="1:28" ht="14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  <c r="AA554" s="123"/>
      <c r="AB554" s="123"/>
    </row>
    <row r="555" spans="1:28" ht="14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</row>
    <row r="556" spans="1:28" ht="14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  <c r="AA556" s="123"/>
      <c r="AB556" s="123"/>
    </row>
    <row r="557" spans="1:28" ht="14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  <c r="AA557" s="123"/>
      <c r="AB557" s="123"/>
    </row>
    <row r="558" spans="1:28" ht="14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  <c r="AA558" s="123"/>
      <c r="AB558" s="123"/>
    </row>
    <row r="559" spans="1:28" ht="14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  <c r="AA559" s="123"/>
      <c r="AB559" s="123"/>
    </row>
    <row r="560" spans="1:28" ht="14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  <c r="AA560" s="123"/>
      <c r="AB560" s="123"/>
    </row>
    <row r="561" spans="1:28" ht="14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  <c r="AA561" s="123"/>
      <c r="AB561" s="123"/>
    </row>
    <row r="562" spans="1:28" ht="14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  <c r="AA562" s="123"/>
      <c r="AB562" s="123"/>
    </row>
    <row r="563" spans="1:28" ht="14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  <c r="AA563" s="123"/>
      <c r="AB563" s="123"/>
    </row>
    <row r="564" spans="1:28" ht="14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  <c r="AA564" s="123"/>
      <c r="AB564" s="123"/>
    </row>
    <row r="565" spans="1:28" ht="14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  <c r="AA565" s="123"/>
      <c r="AB565" s="123"/>
    </row>
    <row r="566" spans="1:28" ht="14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  <c r="AA566" s="123"/>
      <c r="AB566" s="123"/>
    </row>
    <row r="567" spans="1:28" ht="14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  <c r="AA567" s="123"/>
      <c r="AB567" s="123"/>
    </row>
    <row r="568" spans="1:28" ht="14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  <c r="AA568" s="123"/>
      <c r="AB568" s="123"/>
    </row>
    <row r="569" spans="1:28" ht="14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  <c r="AA569" s="123"/>
      <c r="AB569" s="123"/>
    </row>
    <row r="570" spans="1:28" ht="14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  <c r="AA570" s="123"/>
      <c r="AB570" s="123"/>
    </row>
    <row r="571" spans="1:28" ht="14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</row>
    <row r="572" spans="1:28" ht="14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  <c r="AA572" s="123"/>
      <c r="AB572" s="123"/>
    </row>
    <row r="573" spans="1:28" ht="14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  <c r="AA573" s="123"/>
      <c r="AB573" s="123"/>
    </row>
    <row r="574" spans="1:28" ht="14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  <c r="AA574" s="123"/>
      <c r="AB574" s="123"/>
    </row>
    <row r="575" spans="1:28" ht="14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  <c r="AA575" s="123"/>
      <c r="AB575" s="123"/>
    </row>
    <row r="576" spans="1:28" ht="14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  <c r="AA576" s="123"/>
      <c r="AB576" s="123"/>
    </row>
    <row r="577" spans="1:28" ht="14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  <c r="AA577" s="123"/>
      <c r="AB577" s="123"/>
    </row>
    <row r="578" spans="1:28" ht="14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  <c r="AA578" s="123"/>
      <c r="AB578" s="123"/>
    </row>
    <row r="579" spans="1:28" ht="14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  <c r="AA579" s="123"/>
      <c r="AB579" s="123"/>
    </row>
    <row r="580" spans="1:28" ht="14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  <c r="AA580" s="123"/>
      <c r="AB580" s="123"/>
    </row>
    <row r="581" spans="1:28" ht="14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  <c r="AA581" s="123"/>
      <c r="AB581" s="123"/>
    </row>
    <row r="582" spans="1:28" ht="14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  <c r="AA582" s="123"/>
      <c r="AB582" s="123"/>
    </row>
    <row r="583" spans="1:28" ht="14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</row>
    <row r="584" spans="1:28" ht="14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  <c r="AA584" s="123"/>
      <c r="AB584" s="123"/>
    </row>
    <row r="585" spans="1:28" ht="14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  <c r="AA585" s="123"/>
      <c r="AB585" s="123"/>
    </row>
    <row r="586" spans="1:28" ht="14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  <c r="AA586" s="123"/>
      <c r="AB586" s="123"/>
    </row>
    <row r="587" spans="1:28" ht="14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  <c r="AB587" s="123"/>
    </row>
    <row r="588" spans="1:28" ht="14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  <c r="AA588" s="123"/>
      <c r="AB588" s="123"/>
    </row>
    <row r="589" spans="1:28" ht="14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  <c r="AA589" s="123"/>
      <c r="AB589" s="123"/>
    </row>
    <row r="590" spans="1:28" ht="14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  <c r="AA590" s="123"/>
      <c r="AB590" s="123"/>
    </row>
    <row r="591" spans="1:28" ht="14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  <c r="AA591" s="123"/>
      <c r="AB591" s="123"/>
    </row>
    <row r="592" spans="1:28" ht="14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  <c r="AA592" s="123"/>
      <c r="AB592" s="123"/>
    </row>
    <row r="593" spans="1:28" ht="14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  <c r="AA593" s="123"/>
      <c r="AB593" s="123"/>
    </row>
    <row r="594" spans="1:28" ht="14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  <c r="AA594" s="123"/>
      <c r="AB594" s="123"/>
    </row>
    <row r="595" spans="1:28" ht="14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  <c r="AA595" s="123"/>
      <c r="AB595" s="123"/>
    </row>
    <row r="596" spans="1:28" ht="14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  <c r="AA596" s="123"/>
      <c r="AB596" s="123"/>
    </row>
    <row r="597" spans="1:28" ht="14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  <c r="AA597" s="123"/>
      <c r="AB597" s="123"/>
    </row>
    <row r="598" spans="1:28" ht="14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  <c r="AA598" s="123"/>
      <c r="AB598" s="123"/>
    </row>
    <row r="599" spans="1:28" ht="14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  <c r="AA599" s="123"/>
      <c r="AB599" s="123"/>
    </row>
    <row r="600" spans="1:28" ht="14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  <c r="AA600" s="123"/>
      <c r="AB600" s="123"/>
    </row>
    <row r="601" spans="1:28" ht="14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  <c r="AA601" s="123"/>
      <c r="AB601" s="123"/>
    </row>
    <row r="602" spans="1:28" ht="14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  <c r="AA602" s="123"/>
      <c r="AB602" s="123"/>
    </row>
    <row r="603" spans="1:28" ht="14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  <c r="AA603" s="123"/>
      <c r="AB603" s="123"/>
    </row>
    <row r="604" spans="1:28" ht="14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  <c r="AA604" s="123"/>
      <c r="AB604" s="123"/>
    </row>
    <row r="605" spans="1:28" ht="14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  <c r="AA605" s="123"/>
      <c r="AB605" s="123"/>
    </row>
    <row r="606" spans="1:28" ht="14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  <c r="AA606" s="123"/>
      <c r="AB606" s="123"/>
    </row>
    <row r="607" spans="1:28" ht="14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  <c r="AA607" s="123"/>
      <c r="AB607" s="123"/>
    </row>
    <row r="608" spans="1:28" ht="14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  <c r="AA608" s="123"/>
      <c r="AB608" s="123"/>
    </row>
    <row r="609" spans="1:28" ht="14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  <c r="AA609" s="123"/>
      <c r="AB609" s="123"/>
    </row>
    <row r="610" spans="1:28" ht="14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  <c r="AA610" s="123"/>
      <c r="AB610" s="123"/>
    </row>
    <row r="611" spans="1:28" ht="14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  <c r="AA611" s="123"/>
      <c r="AB611" s="123"/>
    </row>
    <row r="612" spans="1:28" ht="14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  <c r="AA612" s="123"/>
      <c r="AB612" s="123"/>
    </row>
    <row r="613" spans="1:28" ht="14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  <c r="AA613" s="123"/>
      <c r="AB613" s="123"/>
    </row>
    <row r="614" spans="1:28" ht="14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  <c r="AA614" s="123"/>
      <c r="AB614" s="123"/>
    </row>
    <row r="615" spans="1:28" ht="14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  <c r="AA615" s="123"/>
      <c r="AB615" s="123"/>
    </row>
    <row r="616" spans="1:28" ht="14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  <c r="AA616" s="123"/>
      <c r="AB616" s="123"/>
    </row>
    <row r="617" spans="1:28" ht="14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  <c r="AA617" s="123"/>
      <c r="AB617" s="123"/>
    </row>
    <row r="618" spans="1:28" ht="14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  <c r="AA618" s="123"/>
      <c r="AB618" s="123"/>
    </row>
    <row r="619" spans="1:28" ht="14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3"/>
      <c r="AB619" s="123"/>
    </row>
    <row r="620" spans="1:28" ht="14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  <c r="AA620" s="123"/>
      <c r="AB620" s="123"/>
    </row>
    <row r="621" spans="1:28" ht="14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  <c r="AA621" s="123"/>
      <c r="AB621" s="123"/>
    </row>
    <row r="622" spans="1:28" ht="14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  <c r="AA622" s="123"/>
      <c r="AB622" s="123"/>
    </row>
    <row r="623" spans="1:28" ht="14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  <c r="AA623" s="123"/>
      <c r="AB623" s="123"/>
    </row>
    <row r="624" spans="1:28" ht="14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  <c r="AA624" s="123"/>
      <c r="AB624" s="123"/>
    </row>
    <row r="625" spans="1:28" ht="14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  <c r="AA625" s="123"/>
      <c r="AB625" s="123"/>
    </row>
    <row r="626" spans="1:28" ht="14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  <c r="AA626" s="123"/>
      <c r="AB626" s="123"/>
    </row>
    <row r="627" spans="1:28" ht="14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  <c r="AA627" s="123"/>
      <c r="AB627" s="123"/>
    </row>
    <row r="628" spans="1:28" ht="14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  <c r="AA628" s="123"/>
      <c r="AB628" s="123"/>
    </row>
    <row r="629" spans="1:28" ht="14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  <c r="AA629" s="123"/>
      <c r="AB629" s="123"/>
    </row>
    <row r="630" spans="1:28" ht="14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  <c r="AA630" s="123"/>
      <c r="AB630" s="123"/>
    </row>
    <row r="631" spans="1:28" ht="14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  <c r="AA631" s="123"/>
      <c r="AB631" s="123"/>
    </row>
    <row r="632" spans="1:28" ht="14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  <c r="AA632" s="123"/>
      <c r="AB632" s="123"/>
    </row>
    <row r="633" spans="1:28" ht="14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  <c r="AA633" s="123"/>
      <c r="AB633" s="123"/>
    </row>
    <row r="634" spans="1:28" ht="14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  <c r="AA634" s="123"/>
      <c r="AB634" s="123"/>
    </row>
    <row r="635" spans="1:28" ht="14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  <c r="AA635" s="123"/>
      <c r="AB635" s="123"/>
    </row>
    <row r="636" spans="1:28" ht="14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  <c r="AA636" s="123"/>
      <c r="AB636" s="123"/>
    </row>
    <row r="637" spans="1:28" ht="14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  <c r="AA637" s="123"/>
      <c r="AB637" s="123"/>
    </row>
    <row r="638" spans="1:28" ht="14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  <c r="AA638" s="123"/>
      <c r="AB638" s="123"/>
    </row>
    <row r="639" spans="1:28" ht="14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  <c r="AA639" s="123"/>
      <c r="AB639" s="123"/>
    </row>
    <row r="640" spans="1:28" ht="14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  <c r="AA640" s="123"/>
      <c r="AB640" s="123"/>
    </row>
    <row r="641" spans="1:28" ht="14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  <c r="AA641" s="123"/>
      <c r="AB641" s="123"/>
    </row>
    <row r="642" spans="1:28" ht="14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  <c r="AA642" s="123"/>
      <c r="AB642" s="123"/>
    </row>
    <row r="643" spans="1:28" ht="14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  <c r="AA643" s="123"/>
      <c r="AB643" s="123"/>
    </row>
    <row r="644" spans="1:28" ht="14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  <c r="AA644" s="123"/>
      <c r="AB644" s="123"/>
    </row>
    <row r="645" spans="1:28" ht="14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  <c r="AA645" s="123"/>
      <c r="AB645" s="123"/>
    </row>
    <row r="646" spans="1:28" ht="14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  <c r="AA646" s="123"/>
      <c r="AB646" s="123"/>
    </row>
    <row r="647" spans="1:28" ht="14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  <c r="AA647" s="123"/>
      <c r="AB647" s="123"/>
    </row>
    <row r="648" spans="1:28" ht="14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  <c r="AA648" s="123"/>
      <c r="AB648" s="123"/>
    </row>
    <row r="649" spans="1:28" ht="14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  <c r="AA649" s="123"/>
      <c r="AB649" s="123"/>
    </row>
    <row r="650" spans="1:28" ht="14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  <c r="AA650" s="123"/>
      <c r="AB650" s="123"/>
    </row>
    <row r="651" spans="1:28" ht="14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/>
    </row>
    <row r="652" spans="1:28" ht="14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  <c r="AA652" s="123"/>
      <c r="AB652" s="123"/>
    </row>
    <row r="653" spans="1:28" ht="14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  <c r="AA653" s="123"/>
      <c r="AB653" s="123"/>
    </row>
    <row r="654" spans="1:28" ht="14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  <c r="AA654" s="123"/>
      <c r="AB654" s="123"/>
    </row>
    <row r="655" spans="1:28" ht="14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  <c r="AA655" s="123"/>
      <c r="AB655" s="123"/>
    </row>
    <row r="656" spans="1:28" ht="14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  <c r="AA656" s="123"/>
      <c r="AB656" s="123"/>
    </row>
    <row r="657" spans="1:28" ht="14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  <c r="AA657" s="123"/>
      <c r="AB657" s="123"/>
    </row>
    <row r="658" spans="1:28" ht="14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  <c r="AA658" s="123"/>
      <c r="AB658" s="123"/>
    </row>
    <row r="659" spans="1:28" ht="14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  <c r="AA659" s="123"/>
      <c r="AB659" s="123"/>
    </row>
    <row r="660" spans="1:28" ht="14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  <c r="AA660" s="123"/>
      <c r="AB660" s="123"/>
    </row>
    <row r="661" spans="1:28" ht="14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  <c r="AA661" s="123"/>
      <c r="AB661" s="123"/>
    </row>
    <row r="662" spans="1:28" ht="14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  <c r="AA662" s="123"/>
      <c r="AB662" s="123"/>
    </row>
    <row r="663" spans="1:28" ht="14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  <c r="AA663" s="123"/>
      <c r="AB663" s="123"/>
    </row>
    <row r="664" spans="1:28" ht="14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  <c r="AA664" s="123"/>
      <c r="AB664" s="123"/>
    </row>
    <row r="665" spans="1:28" ht="14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  <c r="AA665" s="123"/>
      <c r="AB665" s="123"/>
    </row>
    <row r="666" spans="1:28" ht="14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  <c r="AA666" s="123"/>
      <c r="AB666" s="123"/>
    </row>
    <row r="667" spans="1:28" ht="14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  <c r="AA667" s="123"/>
      <c r="AB667" s="123"/>
    </row>
    <row r="668" spans="1:28" ht="14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  <c r="AA668" s="123"/>
      <c r="AB668" s="123"/>
    </row>
    <row r="669" spans="1:28" ht="14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  <c r="AA669" s="123"/>
      <c r="AB669" s="123"/>
    </row>
    <row r="670" spans="1:28" ht="14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  <c r="AA670" s="123"/>
      <c r="AB670" s="123"/>
    </row>
    <row r="671" spans="1:28" ht="14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  <c r="AA671" s="123"/>
      <c r="AB671" s="123"/>
    </row>
    <row r="672" spans="1:28" ht="14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  <c r="AA672" s="123"/>
      <c r="AB672" s="123"/>
    </row>
    <row r="673" spans="1:28" ht="14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  <c r="AA673" s="123"/>
      <c r="AB673" s="123"/>
    </row>
    <row r="674" spans="1:28" ht="14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  <c r="AA674" s="123"/>
      <c r="AB674" s="123"/>
    </row>
    <row r="675" spans="1:28" ht="14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  <c r="AA675" s="123"/>
      <c r="AB675" s="123"/>
    </row>
    <row r="676" spans="1:28" ht="14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  <c r="AA676" s="123"/>
      <c r="AB676" s="123"/>
    </row>
    <row r="677" spans="1:28" ht="14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  <c r="AA677" s="123"/>
      <c r="AB677" s="123"/>
    </row>
    <row r="678" spans="1:28" ht="14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  <c r="AA678" s="123"/>
      <c r="AB678" s="123"/>
    </row>
    <row r="679" spans="1:28" ht="14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  <c r="AA679" s="123"/>
      <c r="AB679" s="123"/>
    </row>
    <row r="680" spans="1:28" ht="14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  <c r="AA680" s="123"/>
      <c r="AB680" s="123"/>
    </row>
    <row r="681" spans="1:28" ht="14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  <c r="AA681" s="123"/>
      <c r="AB681" s="123"/>
    </row>
    <row r="682" spans="1:28" ht="14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  <c r="AA682" s="123"/>
      <c r="AB682" s="123"/>
    </row>
    <row r="683" spans="1:28" ht="14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  <c r="AA683" s="123"/>
      <c r="AB683" s="123"/>
    </row>
    <row r="684" spans="1:28" ht="14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  <c r="AA684" s="123"/>
      <c r="AB684" s="123"/>
    </row>
    <row r="685" spans="1:28" ht="14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  <c r="AA685" s="123"/>
      <c r="AB685" s="123"/>
    </row>
    <row r="686" spans="1:28" ht="14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  <c r="AA686" s="123"/>
      <c r="AB686" s="123"/>
    </row>
    <row r="687" spans="1:28" ht="14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  <c r="AA687" s="123"/>
      <c r="AB687" s="123"/>
    </row>
    <row r="688" spans="1:28" ht="14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  <c r="AA688" s="123"/>
      <c r="AB688" s="123"/>
    </row>
    <row r="689" spans="1:28" ht="14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  <c r="AA689" s="123"/>
      <c r="AB689" s="123"/>
    </row>
    <row r="690" spans="1:28" ht="14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  <c r="AA690" s="123"/>
      <c r="AB690" s="123"/>
    </row>
    <row r="691" spans="1:28" ht="14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  <c r="AA691" s="123"/>
      <c r="AB691" s="123"/>
    </row>
    <row r="692" spans="1:28" ht="14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  <c r="AA692" s="123"/>
      <c r="AB692" s="123"/>
    </row>
    <row r="693" spans="1:28" ht="14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  <c r="AA693" s="123"/>
      <c r="AB693" s="123"/>
    </row>
    <row r="694" spans="1:28" ht="14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  <c r="AA694" s="123"/>
      <c r="AB694" s="123"/>
    </row>
    <row r="695" spans="1:28" ht="14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  <c r="AA695" s="123"/>
      <c r="AB695" s="123"/>
    </row>
    <row r="696" spans="1:28" ht="14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  <c r="AA696" s="123"/>
      <c r="AB696" s="123"/>
    </row>
    <row r="697" spans="1:28" ht="14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  <c r="AA697" s="123"/>
      <c r="AB697" s="123"/>
    </row>
    <row r="698" spans="1:28" ht="14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  <c r="AA698" s="123"/>
      <c r="AB698" s="123"/>
    </row>
    <row r="699" spans="1:28" ht="14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  <c r="AA699" s="123"/>
      <c r="AB699" s="123"/>
    </row>
    <row r="700" spans="1:28" ht="14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  <c r="AA700" s="123"/>
      <c r="AB700" s="123"/>
    </row>
    <row r="701" spans="1:28" ht="14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  <c r="AA701" s="123"/>
      <c r="AB701" s="123"/>
    </row>
    <row r="702" spans="1:28" ht="14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  <c r="AA702" s="123"/>
      <c r="AB702" s="123"/>
    </row>
    <row r="703" spans="1:28" ht="14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  <c r="AA703" s="123"/>
      <c r="AB703" s="123"/>
    </row>
    <row r="704" spans="1:28" ht="14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  <c r="AA704" s="123"/>
      <c r="AB704" s="123"/>
    </row>
    <row r="705" spans="1:28" ht="14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  <c r="AA705" s="123"/>
      <c r="AB705" s="123"/>
    </row>
    <row r="706" spans="1:28" ht="14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  <c r="AA706" s="123"/>
      <c r="AB706" s="123"/>
    </row>
    <row r="707" spans="1:28" ht="14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  <c r="AA707" s="123"/>
      <c r="AB707" s="123"/>
    </row>
    <row r="708" spans="1:28" ht="14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  <c r="AA708" s="123"/>
      <c r="AB708" s="123"/>
    </row>
    <row r="709" spans="1:28" ht="14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  <c r="AA709" s="123"/>
      <c r="AB709" s="123"/>
    </row>
    <row r="710" spans="1:28" ht="14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  <c r="AA710" s="123"/>
      <c r="AB710" s="123"/>
    </row>
    <row r="711" spans="1:28" ht="14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  <c r="AA711" s="123"/>
      <c r="AB711" s="123"/>
    </row>
    <row r="712" spans="1:28" ht="14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  <c r="AA712" s="123"/>
      <c r="AB712" s="123"/>
    </row>
    <row r="713" spans="1:28" ht="14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  <c r="AA713" s="123"/>
      <c r="AB713" s="123"/>
    </row>
    <row r="714" spans="1:28" ht="14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  <c r="AA714" s="123"/>
      <c r="AB714" s="123"/>
    </row>
    <row r="715" spans="1:28" ht="14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  <c r="AA715" s="123"/>
      <c r="AB715" s="123"/>
    </row>
    <row r="716" spans="1:28" ht="14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  <c r="AA716" s="123"/>
      <c r="AB716" s="123"/>
    </row>
    <row r="717" spans="1:28" ht="14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  <c r="AA717" s="123"/>
      <c r="AB717" s="123"/>
    </row>
    <row r="718" spans="1:28" ht="14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  <c r="AA718" s="123"/>
      <c r="AB718" s="123"/>
    </row>
    <row r="719" spans="1:28" ht="14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  <c r="AA719" s="123"/>
      <c r="AB719" s="123"/>
    </row>
    <row r="720" spans="1:28" ht="14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  <c r="AA720" s="123"/>
      <c r="AB720" s="123"/>
    </row>
    <row r="721" spans="1:28" ht="14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  <c r="AA721" s="123"/>
      <c r="AB721" s="123"/>
    </row>
    <row r="722" spans="1:28" ht="14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  <c r="AA722" s="123"/>
      <c r="AB722" s="123"/>
    </row>
    <row r="723" spans="1:28" ht="14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  <c r="AA723" s="123"/>
      <c r="AB723" s="123"/>
    </row>
    <row r="724" spans="1:28" ht="14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  <c r="AA724" s="123"/>
      <c r="AB724" s="123"/>
    </row>
    <row r="725" spans="1:28" ht="14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  <c r="AA725" s="123"/>
      <c r="AB725" s="123"/>
    </row>
    <row r="726" spans="1:28" ht="14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  <c r="AA726" s="123"/>
      <c r="AB726" s="123"/>
    </row>
    <row r="727" spans="1:28" ht="14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  <c r="AA727" s="123"/>
      <c r="AB727" s="123"/>
    </row>
    <row r="728" spans="1:28" ht="14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  <c r="AA728" s="123"/>
      <c r="AB728" s="123"/>
    </row>
    <row r="729" spans="1:28" ht="14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  <c r="AA729" s="123"/>
      <c r="AB729" s="123"/>
    </row>
    <row r="730" spans="1:28" ht="14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  <c r="AA730" s="123"/>
      <c r="AB730" s="123"/>
    </row>
    <row r="731" spans="1:28" ht="14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  <c r="AA731" s="123"/>
      <c r="AB731" s="123"/>
    </row>
    <row r="732" spans="1:28" ht="14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  <c r="AA732" s="123"/>
      <c r="AB732" s="123"/>
    </row>
    <row r="733" spans="1:28" ht="14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  <c r="AA733" s="123"/>
      <c r="AB733" s="123"/>
    </row>
    <row r="734" spans="1:28" ht="14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  <c r="AA734" s="123"/>
      <c r="AB734" s="123"/>
    </row>
    <row r="735" spans="1:28" ht="14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  <c r="AA735" s="123"/>
      <c r="AB735" s="123"/>
    </row>
    <row r="736" spans="1:28" ht="14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  <c r="AA736" s="123"/>
      <c r="AB736" s="123"/>
    </row>
    <row r="737" spans="1:28" ht="14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  <c r="AA737" s="123"/>
      <c r="AB737" s="123"/>
    </row>
    <row r="738" spans="1:28" ht="14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  <c r="AA738" s="123"/>
      <c r="AB738" s="123"/>
    </row>
    <row r="739" spans="1:28" ht="14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  <c r="AA739" s="123"/>
      <c r="AB739" s="123"/>
    </row>
    <row r="740" spans="1:28" ht="14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  <c r="AA740" s="123"/>
      <c r="AB740" s="123"/>
    </row>
    <row r="741" spans="1:28" ht="14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  <c r="AA741" s="123"/>
      <c r="AB741" s="123"/>
    </row>
    <row r="742" spans="1:28" ht="14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  <c r="AA742" s="123"/>
      <c r="AB742" s="123"/>
    </row>
    <row r="743" spans="1:28" ht="14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  <c r="AA743" s="123"/>
      <c r="AB743" s="123"/>
    </row>
    <row r="744" spans="1:28" ht="14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  <c r="AA744" s="123"/>
      <c r="AB744" s="123"/>
    </row>
    <row r="745" spans="1:28" ht="14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  <c r="AA745" s="123"/>
      <c r="AB745" s="123"/>
    </row>
    <row r="746" spans="1:28" ht="14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  <c r="AA746" s="123"/>
      <c r="AB746" s="123"/>
    </row>
    <row r="747" spans="1:28" ht="14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  <c r="AA747" s="123"/>
      <c r="AB747" s="123"/>
    </row>
    <row r="748" spans="1:28" ht="14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  <c r="AA748" s="123"/>
      <c r="AB748" s="123"/>
    </row>
    <row r="749" spans="1:28" ht="14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  <c r="AA749" s="123"/>
      <c r="AB749" s="123"/>
    </row>
    <row r="750" spans="1:28" ht="14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  <c r="AA750" s="123"/>
      <c r="AB750" s="123"/>
    </row>
    <row r="751" spans="1:28" ht="14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  <c r="AA751" s="123"/>
      <c r="AB751" s="123"/>
    </row>
    <row r="752" spans="1:28" ht="14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  <c r="AA752" s="123"/>
      <c r="AB752" s="123"/>
    </row>
    <row r="753" spans="1:28" ht="14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  <c r="AA753" s="123"/>
      <c r="AB753" s="123"/>
    </row>
    <row r="754" spans="1:28" ht="14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  <c r="AA754" s="123"/>
      <c r="AB754" s="123"/>
    </row>
    <row r="755" spans="1:28" ht="14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  <c r="AA755" s="123"/>
      <c r="AB755" s="123"/>
    </row>
    <row r="756" spans="1:28" ht="14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  <c r="AA756" s="123"/>
      <c r="AB756" s="123"/>
    </row>
    <row r="757" spans="1:28" ht="14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  <c r="AA757" s="123"/>
      <c r="AB757" s="123"/>
    </row>
    <row r="758" spans="1:28" ht="14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  <c r="AA758" s="123"/>
      <c r="AB758" s="123"/>
    </row>
    <row r="759" spans="1:28" ht="14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  <c r="AA759" s="123"/>
      <c r="AB759" s="123"/>
    </row>
    <row r="760" spans="1:28" ht="14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  <c r="AA760" s="123"/>
      <c r="AB760" s="123"/>
    </row>
    <row r="761" spans="1:28" ht="14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  <c r="AA761" s="123"/>
      <c r="AB761" s="123"/>
    </row>
    <row r="762" spans="1:28" ht="14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  <c r="AA762" s="123"/>
      <c r="AB762" s="123"/>
    </row>
    <row r="763" spans="1:28" ht="14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  <c r="AA763" s="123"/>
      <c r="AB763" s="123"/>
    </row>
    <row r="764" spans="1:28" ht="14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  <c r="AA764" s="123"/>
      <c r="AB764" s="123"/>
    </row>
    <row r="765" spans="1:28" ht="14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  <c r="AA765" s="123"/>
      <c r="AB765" s="123"/>
    </row>
    <row r="766" spans="1:28" ht="14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  <c r="AA766" s="123"/>
      <c r="AB766" s="123"/>
    </row>
    <row r="767" spans="1:28" ht="14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  <c r="AA767" s="123"/>
      <c r="AB767" s="123"/>
    </row>
    <row r="768" spans="1:28" ht="14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  <c r="AA768" s="123"/>
      <c r="AB768" s="123"/>
    </row>
    <row r="769" spans="1:28" ht="14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  <c r="AA769" s="123"/>
      <c r="AB769" s="123"/>
    </row>
    <row r="770" spans="1:28" ht="14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  <c r="AA770" s="123"/>
      <c r="AB770" s="123"/>
    </row>
    <row r="771" spans="1:28" ht="14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  <c r="AA771" s="123"/>
      <c r="AB771" s="123"/>
    </row>
    <row r="772" spans="1:28" ht="14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  <c r="AA772" s="123"/>
      <c r="AB772" s="123"/>
    </row>
    <row r="773" spans="1:28" ht="14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  <c r="AA773" s="123"/>
      <c r="AB773" s="123"/>
    </row>
    <row r="774" spans="1:28" ht="14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  <c r="AA774" s="123"/>
      <c r="AB774" s="123"/>
    </row>
    <row r="775" spans="1:28" ht="14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  <c r="AA775" s="123"/>
      <c r="AB775" s="123"/>
    </row>
    <row r="776" spans="1:28" ht="14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  <c r="AA776" s="123"/>
      <c r="AB776" s="123"/>
    </row>
    <row r="777" spans="1:28" ht="14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  <c r="AA777" s="123"/>
      <c r="AB777" s="123"/>
    </row>
    <row r="778" spans="1:28" ht="14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  <c r="AA778" s="123"/>
      <c r="AB778" s="123"/>
    </row>
    <row r="779" spans="1:28" ht="14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  <c r="AA779" s="123"/>
      <c r="AB779" s="123"/>
    </row>
    <row r="780" spans="1:28" ht="14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  <c r="AA780" s="123"/>
      <c r="AB780" s="123"/>
    </row>
    <row r="781" spans="1:28" ht="14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  <c r="AA781" s="123"/>
      <c r="AB781" s="123"/>
    </row>
    <row r="782" spans="1:28" ht="14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  <c r="AA782" s="123"/>
      <c r="AB782" s="123"/>
    </row>
    <row r="783" spans="1:28" ht="14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  <c r="AA783" s="123"/>
      <c r="AB783" s="123"/>
    </row>
    <row r="784" spans="1:28" ht="14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  <c r="AA784" s="123"/>
      <c r="AB784" s="123"/>
    </row>
    <row r="785" spans="1:28" ht="14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  <c r="AA785" s="123"/>
      <c r="AB785" s="123"/>
    </row>
    <row r="786" spans="1:28" ht="14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  <c r="AA786" s="123"/>
      <c r="AB786" s="123"/>
    </row>
    <row r="787" spans="1:28" ht="14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  <c r="AA787" s="123"/>
      <c r="AB787" s="123"/>
    </row>
    <row r="788" spans="1:28" ht="14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  <c r="AA788" s="123"/>
      <c r="AB788" s="123"/>
    </row>
    <row r="789" spans="1:28" ht="14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  <c r="AA789" s="123"/>
      <c r="AB789" s="123"/>
    </row>
    <row r="790" spans="1:28" ht="14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  <c r="AA790" s="123"/>
      <c r="AB790" s="123"/>
    </row>
    <row r="791" spans="1:28" ht="14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  <c r="AA791" s="123"/>
      <c r="AB791" s="123"/>
    </row>
    <row r="792" spans="1:28" ht="14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  <c r="AA792" s="123"/>
      <c r="AB792" s="123"/>
    </row>
    <row r="793" spans="1:28" ht="14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  <c r="AA793" s="123"/>
      <c r="AB793" s="123"/>
    </row>
    <row r="794" spans="1:28" ht="14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  <c r="AA794" s="123"/>
      <c r="AB794" s="123"/>
    </row>
    <row r="795" spans="1:28" ht="14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  <c r="AA795" s="123"/>
      <c r="AB795" s="123"/>
    </row>
    <row r="796" spans="1:28" ht="14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  <c r="AA796" s="123"/>
      <c r="AB796" s="123"/>
    </row>
    <row r="797" spans="1:28" ht="14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  <c r="AA797" s="123"/>
      <c r="AB797" s="123"/>
    </row>
    <row r="798" spans="1:28" ht="14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  <c r="AA798" s="123"/>
      <c r="AB798" s="123"/>
    </row>
    <row r="799" spans="1:28" ht="14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  <c r="AA799" s="123"/>
      <c r="AB799" s="123"/>
    </row>
    <row r="800" spans="1:28" ht="14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  <c r="AA800" s="123"/>
      <c r="AB800" s="123"/>
    </row>
    <row r="801" spans="1:28" ht="14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  <c r="AA801" s="123"/>
      <c r="AB801" s="123"/>
    </row>
    <row r="802" spans="1:28" ht="14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  <c r="AA802" s="123"/>
      <c r="AB802" s="123"/>
    </row>
    <row r="803" spans="1:28" ht="14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  <c r="AA803" s="123"/>
      <c r="AB803" s="123"/>
    </row>
    <row r="804" spans="1:28" ht="14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  <c r="AA804" s="123"/>
      <c r="AB804" s="123"/>
    </row>
    <row r="805" spans="1:28" ht="14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  <c r="AA805" s="123"/>
      <c r="AB805" s="123"/>
    </row>
    <row r="806" spans="1:28" ht="14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  <c r="AA806" s="123"/>
      <c r="AB806" s="123"/>
    </row>
    <row r="807" spans="1:28" ht="14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  <c r="AA807" s="123"/>
      <c r="AB807" s="123"/>
    </row>
    <row r="808" spans="1:28" ht="14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  <c r="AA808" s="123"/>
      <c r="AB808" s="123"/>
    </row>
    <row r="809" spans="1:28" ht="14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  <c r="AA809" s="123"/>
      <c r="AB809" s="123"/>
    </row>
    <row r="810" spans="1:28" ht="14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  <c r="AA810" s="123"/>
      <c r="AB810" s="123"/>
    </row>
    <row r="811" spans="1:28" ht="14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  <c r="AA811" s="123"/>
      <c r="AB811" s="123"/>
    </row>
    <row r="812" spans="1:28" ht="14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  <c r="AA812" s="123"/>
      <c r="AB812" s="123"/>
    </row>
    <row r="813" spans="1:28" ht="14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  <c r="AA813" s="123"/>
      <c r="AB813" s="123"/>
    </row>
    <row r="814" spans="1:28" ht="14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  <c r="AA814" s="123"/>
      <c r="AB814" s="123"/>
    </row>
    <row r="815" spans="1:28" ht="14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  <c r="AA815" s="123"/>
      <c r="AB815" s="123"/>
    </row>
    <row r="816" spans="1:28" ht="14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  <c r="AA816" s="123"/>
      <c r="AB816" s="123"/>
    </row>
    <row r="817" spans="1:28" ht="14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  <c r="AA817" s="123"/>
      <c r="AB817" s="123"/>
    </row>
    <row r="818" spans="1:28" ht="14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  <c r="AA818" s="123"/>
      <c r="AB818" s="123"/>
    </row>
    <row r="819" spans="1:28" ht="14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  <c r="AA819" s="123"/>
      <c r="AB819" s="123"/>
    </row>
    <row r="820" spans="1:28" ht="14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  <c r="AA820" s="123"/>
      <c r="AB820" s="123"/>
    </row>
    <row r="821" spans="1:28" ht="14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  <c r="AA821" s="123"/>
      <c r="AB821" s="123"/>
    </row>
    <row r="822" spans="1:28" ht="14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  <c r="AA822" s="123"/>
      <c r="AB822" s="123"/>
    </row>
    <row r="823" spans="1:28" ht="14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  <c r="AA823" s="123"/>
      <c r="AB823" s="123"/>
    </row>
    <row r="824" spans="1:28" ht="14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  <c r="AA824" s="123"/>
      <c r="AB824" s="123"/>
    </row>
    <row r="825" spans="1:28" ht="14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  <c r="AA825" s="123"/>
      <c r="AB825" s="123"/>
    </row>
    <row r="826" spans="1:28" ht="14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  <c r="AA826" s="123"/>
      <c r="AB826" s="123"/>
    </row>
    <row r="827" spans="1:28" ht="14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  <c r="AA827" s="123"/>
      <c r="AB827" s="123"/>
    </row>
    <row r="828" spans="1:28" ht="14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  <c r="AA828" s="123"/>
      <c r="AB828" s="123"/>
    </row>
    <row r="829" spans="1:28" ht="14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  <c r="AA829" s="123"/>
      <c r="AB829" s="123"/>
    </row>
    <row r="830" spans="1:28" ht="14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  <c r="AA830" s="123"/>
      <c r="AB830" s="123"/>
    </row>
    <row r="831" spans="1:28" ht="14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  <c r="AA831" s="123"/>
      <c r="AB831" s="123"/>
    </row>
    <row r="832" spans="1:28" ht="14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  <c r="AA832" s="123"/>
      <c r="AB832" s="123"/>
    </row>
    <row r="833" spans="1:28" ht="14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  <c r="AA833" s="123"/>
      <c r="AB833" s="123"/>
    </row>
    <row r="834" spans="1:28" ht="14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  <c r="AA834" s="123"/>
      <c r="AB834" s="123"/>
    </row>
    <row r="835" spans="1:28" ht="14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  <c r="AA835" s="123"/>
      <c r="AB835" s="123"/>
    </row>
    <row r="836" spans="1:28" ht="14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  <c r="AA836" s="123"/>
      <c r="AB836" s="123"/>
    </row>
    <row r="837" spans="1:28" ht="14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  <c r="AA837" s="123"/>
      <c r="AB837" s="123"/>
    </row>
    <row r="838" spans="1:28" ht="14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  <c r="AA838" s="123"/>
      <c r="AB838" s="123"/>
    </row>
    <row r="839" spans="1:28" ht="14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  <c r="AA839" s="123"/>
      <c r="AB839" s="123"/>
    </row>
    <row r="840" spans="1:28" ht="14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  <c r="AA840" s="123"/>
      <c r="AB840" s="123"/>
    </row>
    <row r="841" spans="1:28" ht="14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  <c r="AA841" s="123"/>
      <c r="AB841" s="123"/>
    </row>
    <row r="842" spans="1:28" ht="14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  <c r="AA842" s="123"/>
      <c r="AB842" s="123"/>
    </row>
    <row r="843" spans="1:28" ht="14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  <c r="AA843" s="123"/>
      <c r="AB843" s="123"/>
    </row>
    <row r="844" spans="1:28" ht="14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  <c r="AA844" s="123"/>
      <c r="AB844" s="123"/>
    </row>
    <row r="845" spans="1:28" ht="14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  <c r="AA845" s="123"/>
      <c r="AB845" s="123"/>
    </row>
    <row r="846" spans="1:28" ht="14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  <c r="AA846" s="123"/>
      <c r="AB846" s="123"/>
    </row>
    <row r="847" spans="1:28" ht="14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  <c r="AA847" s="123"/>
      <c r="AB847" s="123"/>
    </row>
    <row r="848" spans="1:28" ht="14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  <c r="AA848" s="123"/>
      <c r="AB848" s="123"/>
    </row>
    <row r="849" spans="1:28" ht="14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  <c r="AA849" s="123"/>
      <c r="AB849" s="123"/>
    </row>
    <row r="850" spans="1:28" ht="14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  <c r="AA850" s="123"/>
      <c r="AB850" s="123"/>
    </row>
    <row r="851" spans="1:28" ht="14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  <c r="AA851" s="123"/>
      <c r="AB851" s="123"/>
    </row>
    <row r="852" spans="1:28" ht="14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  <c r="AA852" s="123"/>
      <c r="AB852" s="123"/>
    </row>
    <row r="853" spans="1:28" ht="14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  <c r="AA853" s="123"/>
      <c r="AB853" s="123"/>
    </row>
    <row r="854" spans="1:28" ht="14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  <c r="AA854" s="123"/>
      <c r="AB854" s="123"/>
    </row>
    <row r="855" spans="1:28" ht="14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  <c r="AA855" s="123"/>
      <c r="AB855" s="123"/>
    </row>
    <row r="856" spans="1:28" ht="14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  <c r="AA856" s="123"/>
      <c r="AB856" s="123"/>
    </row>
    <row r="857" spans="1:28" ht="14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  <c r="AA857" s="123"/>
      <c r="AB857" s="123"/>
    </row>
    <row r="858" spans="1:28" ht="14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  <c r="AA858" s="123"/>
      <c r="AB858" s="123"/>
    </row>
    <row r="859" spans="1:28" ht="14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  <c r="AA859" s="123"/>
      <c r="AB859" s="123"/>
    </row>
    <row r="860" spans="1:28" ht="14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  <c r="AA860" s="123"/>
      <c r="AB860" s="123"/>
    </row>
    <row r="861" spans="1:28" ht="14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  <c r="AA861" s="123"/>
      <c r="AB861" s="123"/>
    </row>
    <row r="862" spans="1:28" ht="14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  <c r="AA862" s="123"/>
      <c r="AB862" s="123"/>
    </row>
    <row r="863" spans="1:28" ht="14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  <c r="AA863" s="123"/>
      <c r="AB863" s="123"/>
    </row>
    <row r="864" spans="1:28" ht="14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  <c r="AA864" s="123"/>
      <c r="AB864" s="123"/>
    </row>
    <row r="865" spans="1:28" ht="14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  <c r="AA865" s="123"/>
      <c r="AB865" s="123"/>
    </row>
    <row r="866" spans="1:28" ht="14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  <c r="AA866" s="123"/>
      <c r="AB866" s="123"/>
    </row>
    <row r="867" spans="1:28" ht="14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  <c r="AA867" s="123"/>
      <c r="AB867" s="123"/>
    </row>
    <row r="868" spans="1:28" ht="14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  <c r="AA868" s="123"/>
      <c r="AB868" s="123"/>
    </row>
    <row r="869" spans="1:28" ht="14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  <c r="AA869" s="123"/>
      <c r="AB869" s="123"/>
    </row>
    <row r="870" spans="1:28" ht="14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  <c r="AA870" s="123"/>
      <c r="AB870" s="123"/>
    </row>
    <row r="871" spans="1:28" ht="14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  <c r="AA871" s="123"/>
      <c r="AB871" s="123"/>
    </row>
    <row r="872" spans="1:28" ht="14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  <c r="AA872" s="123"/>
      <c r="AB872" s="123"/>
    </row>
    <row r="873" spans="1:28" ht="14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  <c r="AA873" s="123"/>
      <c r="AB873" s="123"/>
    </row>
    <row r="874" spans="1:28" ht="14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  <c r="AA874" s="123"/>
      <c r="AB874" s="123"/>
    </row>
    <row r="875" spans="1:28" ht="14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  <c r="AA875" s="123"/>
      <c r="AB875" s="123"/>
    </row>
    <row r="876" spans="1:28" ht="14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  <c r="AA876" s="123"/>
      <c r="AB876" s="123"/>
    </row>
    <row r="877" spans="1:28" ht="14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  <c r="AA877" s="123"/>
      <c r="AB877" s="123"/>
    </row>
    <row r="878" spans="1:28" ht="14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  <c r="AA878" s="123"/>
      <c r="AB878" s="123"/>
    </row>
    <row r="879" spans="1:28" ht="14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  <c r="AA879" s="123"/>
      <c r="AB879" s="123"/>
    </row>
    <row r="880" spans="1:28" ht="14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  <c r="AA880" s="123"/>
      <c r="AB880" s="123"/>
    </row>
    <row r="881" spans="1:28" ht="14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  <c r="AA881" s="123"/>
      <c r="AB881" s="123"/>
    </row>
    <row r="882" spans="1:28" ht="14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  <c r="AA882" s="123"/>
      <c r="AB882" s="123"/>
    </row>
    <row r="883" spans="1:28" ht="14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  <c r="AA883" s="123"/>
      <c r="AB883" s="123"/>
    </row>
    <row r="884" spans="1:28" ht="14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  <c r="AA884" s="123"/>
      <c r="AB884" s="123"/>
    </row>
    <row r="885" spans="1:28" ht="14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  <c r="AA885" s="123"/>
      <c r="AB885" s="123"/>
    </row>
    <row r="886" spans="1:28" ht="14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  <c r="AA886" s="123"/>
      <c r="AB886" s="123"/>
    </row>
    <row r="887" spans="1:28" ht="14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  <c r="AA887" s="123"/>
      <c r="AB887" s="123"/>
    </row>
    <row r="888" spans="1:28" ht="14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  <c r="AA888" s="123"/>
      <c r="AB888" s="123"/>
    </row>
    <row r="889" spans="1:28" ht="14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  <c r="AA889" s="123"/>
      <c r="AB889" s="123"/>
    </row>
    <row r="890" spans="1:28" ht="14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  <c r="AA890" s="123"/>
      <c r="AB890" s="123"/>
    </row>
    <row r="891" spans="1:28" ht="14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  <c r="AA891" s="123"/>
      <c r="AB891" s="123"/>
    </row>
    <row r="892" spans="1:28" ht="14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  <c r="AA892" s="123"/>
      <c r="AB892" s="123"/>
    </row>
    <row r="893" spans="1:28" ht="14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  <c r="AA893" s="123"/>
      <c r="AB893" s="123"/>
    </row>
    <row r="894" spans="1:28" ht="14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  <c r="AA894" s="123"/>
      <c r="AB894" s="123"/>
    </row>
    <row r="895" spans="1:28" ht="14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  <c r="AA895" s="123"/>
      <c r="AB895" s="123"/>
    </row>
    <row r="896" spans="1:28" ht="14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  <c r="AA896" s="123"/>
      <c r="AB896" s="123"/>
    </row>
    <row r="897" spans="1:28" ht="14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  <c r="AA897" s="123"/>
      <c r="AB897" s="123"/>
    </row>
    <row r="898" spans="1:28" ht="14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  <c r="AA898" s="123"/>
      <c r="AB898" s="123"/>
    </row>
    <row r="899" spans="1:28" ht="14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  <c r="AA899" s="123"/>
      <c r="AB899" s="123"/>
    </row>
    <row r="900" spans="1:28" ht="14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  <c r="AA900" s="123"/>
      <c r="AB900" s="123"/>
    </row>
    <row r="901" spans="1:28" ht="14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  <c r="AA901" s="123"/>
      <c r="AB901" s="123"/>
    </row>
    <row r="902" spans="1:28" ht="14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  <c r="AA902" s="123"/>
      <c r="AB902" s="123"/>
    </row>
    <row r="903" spans="1:28" ht="14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  <c r="AA903" s="123"/>
      <c r="AB903" s="123"/>
    </row>
    <row r="904" spans="1:28" ht="14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  <c r="AA904" s="123"/>
      <c r="AB904" s="123"/>
    </row>
    <row r="905" spans="1:28" ht="14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  <c r="AA905" s="123"/>
      <c r="AB905" s="123"/>
    </row>
    <row r="906" spans="1:28" ht="14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  <c r="AA906" s="123"/>
      <c r="AB906" s="123"/>
    </row>
    <row r="907" spans="1:28" ht="14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  <c r="AA907" s="123"/>
      <c r="AB907" s="123"/>
    </row>
    <row r="908" spans="1:28" ht="14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  <c r="AA908" s="123"/>
      <c r="AB908" s="123"/>
    </row>
    <row r="909" spans="1:28" ht="14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  <c r="AA909" s="123"/>
      <c r="AB909" s="123"/>
    </row>
    <row r="910" spans="1:28" ht="14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  <c r="AA910" s="123"/>
      <c r="AB910" s="123"/>
    </row>
    <row r="911" spans="1:28" ht="14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  <c r="AA911" s="123"/>
      <c r="AB911" s="123"/>
    </row>
    <row r="912" spans="1:28" ht="14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  <c r="AA912" s="123"/>
      <c r="AB912" s="123"/>
    </row>
    <row r="913" spans="1:28" ht="14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  <c r="AA913" s="123"/>
      <c r="AB913" s="123"/>
    </row>
    <row r="914" spans="1:28" ht="14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  <c r="AA914" s="123"/>
      <c r="AB914" s="123"/>
    </row>
    <row r="915" spans="1:28" ht="14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  <c r="AA915" s="123"/>
      <c r="AB915" s="123"/>
    </row>
    <row r="916" spans="1:28" ht="14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  <c r="AA916" s="123"/>
      <c r="AB916" s="123"/>
    </row>
    <row r="917" spans="1:28" ht="14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  <c r="AA917" s="123"/>
      <c r="AB917" s="123"/>
    </row>
    <row r="918" spans="1:28" ht="14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  <c r="AA918" s="123"/>
      <c r="AB918" s="123"/>
    </row>
    <row r="919" spans="1:28" ht="14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  <c r="AA919" s="123"/>
      <c r="AB919" s="123"/>
    </row>
    <row r="920" spans="1:28" ht="14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  <c r="AA920" s="123"/>
      <c r="AB920" s="123"/>
    </row>
    <row r="921" spans="1:28" ht="14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  <c r="AA921" s="123"/>
      <c r="AB921" s="123"/>
    </row>
    <row r="922" spans="1:28" ht="14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  <c r="AA922" s="123"/>
      <c r="AB922" s="123"/>
    </row>
    <row r="923" spans="1:28" ht="14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  <c r="AA923" s="123"/>
      <c r="AB923" s="123"/>
    </row>
    <row r="924" spans="1:28" ht="14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  <c r="AA924" s="123"/>
      <c r="AB924" s="123"/>
    </row>
    <row r="925" spans="1:28" ht="14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  <c r="AA925" s="123"/>
      <c r="AB925" s="123"/>
    </row>
    <row r="926" spans="1:28" ht="14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  <c r="AA926" s="123"/>
      <c r="AB926" s="123"/>
    </row>
    <row r="927" spans="1:28" ht="14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  <c r="AA927" s="123"/>
      <c r="AB927" s="123"/>
    </row>
    <row r="928" spans="1:28" ht="14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  <c r="AA928" s="123"/>
      <c r="AB928" s="123"/>
    </row>
    <row r="929" spans="1:28" ht="14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  <c r="AA929" s="123"/>
      <c r="AB929" s="123"/>
    </row>
    <row r="930" spans="1:28" ht="14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  <c r="AA930" s="123"/>
      <c r="AB930" s="123"/>
    </row>
    <row r="931" spans="1:28" ht="14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  <c r="AA931" s="123"/>
      <c r="AB931" s="123"/>
    </row>
    <row r="932" spans="1:28" ht="14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  <c r="AA932" s="123"/>
      <c r="AB932" s="123"/>
    </row>
    <row r="933" spans="1:28" ht="14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  <c r="AA933" s="123"/>
      <c r="AB933" s="123"/>
    </row>
    <row r="934" spans="1:28" ht="14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  <c r="AA934" s="123"/>
      <c r="AB934" s="123"/>
    </row>
    <row r="935" spans="1:28" ht="14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  <c r="AA935" s="123"/>
      <c r="AB935" s="123"/>
    </row>
    <row r="936" spans="1:28" ht="14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  <c r="AA936" s="123"/>
      <c r="AB936" s="123"/>
    </row>
    <row r="937" spans="1:28" ht="14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  <c r="AA937" s="123"/>
      <c r="AB937" s="123"/>
    </row>
    <row r="938" spans="1:28" ht="14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  <c r="AA938" s="123"/>
      <c r="AB938" s="123"/>
    </row>
    <row r="939" spans="1:28" ht="14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  <c r="AA939" s="123"/>
      <c r="AB939" s="123"/>
    </row>
    <row r="940" spans="1:28" ht="14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  <c r="AA940" s="123"/>
      <c r="AB940" s="123"/>
    </row>
    <row r="941" spans="1:28" ht="14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  <c r="AA941" s="123"/>
      <c r="AB941" s="123"/>
    </row>
    <row r="942" spans="1:28" ht="14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  <c r="AA942" s="123"/>
      <c r="AB942" s="123"/>
    </row>
    <row r="943" spans="1:28" ht="14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  <c r="AA943" s="123"/>
      <c r="AB943" s="123"/>
    </row>
    <row r="944" spans="1:28" ht="14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  <c r="AA944" s="123"/>
      <c r="AB944" s="123"/>
    </row>
    <row r="945" spans="1:28" ht="14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  <c r="AA945" s="123"/>
      <c r="AB945" s="123"/>
    </row>
    <row r="946" spans="1:28" ht="14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  <c r="AA946" s="123"/>
      <c r="AB946" s="123"/>
    </row>
    <row r="947" spans="1:28" ht="14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  <c r="AA947" s="123"/>
      <c r="AB947" s="123"/>
    </row>
    <row r="948" spans="1:28" ht="14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  <c r="AA948" s="123"/>
      <c r="AB948" s="123"/>
    </row>
    <row r="949" spans="1:28" ht="14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  <c r="AA949" s="123"/>
      <c r="AB949" s="123"/>
    </row>
    <row r="950" spans="1:28" ht="14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  <c r="AA950" s="123"/>
      <c r="AB950" s="123"/>
    </row>
    <row r="951" spans="1:28" ht="14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  <c r="AA951" s="123"/>
      <c r="AB951" s="123"/>
    </row>
    <row r="952" spans="1:28" ht="14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  <c r="AA952" s="123"/>
      <c r="AB952" s="123"/>
    </row>
    <row r="953" spans="1:28" ht="14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  <c r="AA953" s="123"/>
      <c r="AB953" s="123"/>
    </row>
    <row r="954" spans="1:28" ht="14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  <c r="AA954" s="123"/>
      <c r="AB954" s="123"/>
    </row>
    <row r="955" spans="1:28" ht="14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  <c r="AA955" s="123"/>
      <c r="AB955" s="123"/>
    </row>
    <row r="956" spans="1:28" ht="14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  <c r="AA956" s="123"/>
      <c r="AB956" s="123"/>
    </row>
    <row r="957" spans="1:28" ht="14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  <c r="AA957" s="123"/>
      <c r="AB957" s="123"/>
    </row>
    <row r="958" spans="1:28" ht="14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  <c r="AA958" s="123"/>
      <c r="AB958" s="123"/>
    </row>
    <row r="959" spans="1:28" ht="14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  <c r="AA959" s="123"/>
      <c r="AB959" s="123"/>
    </row>
    <row r="960" spans="1:28" ht="14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  <c r="AA960" s="123"/>
      <c r="AB960" s="123"/>
    </row>
    <row r="961" spans="1:28" ht="14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  <c r="AA961" s="123"/>
      <c r="AB961" s="123"/>
    </row>
    <row r="962" spans="1:28" ht="14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  <c r="AA962" s="123"/>
      <c r="AB962" s="123"/>
    </row>
    <row r="963" spans="1:28" ht="14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  <c r="AA963" s="123"/>
      <c r="AB963" s="123"/>
    </row>
    <row r="964" spans="1:28" ht="14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  <c r="AA964" s="123"/>
      <c r="AB964" s="123"/>
    </row>
    <row r="965" spans="1:28" ht="14">
      <c r="A965" s="12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  <c r="AA965" s="123"/>
      <c r="AB965" s="123"/>
    </row>
    <row r="966" spans="1:28" ht="14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  <c r="AA966" s="123"/>
      <c r="AB966" s="123"/>
    </row>
    <row r="967" spans="1:28" ht="14">
      <c r="A967" s="12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  <c r="AA967" s="123"/>
      <c r="AB967" s="123"/>
    </row>
    <row r="968" spans="1:28" ht="14">
      <c r="A968" s="12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  <c r="AA968" s="123"/>
      <c r="AB968" s="123"/>
    </row>
    <row r="969" spans="1:28" ht="14">
      <c r="A969" s="12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  <c r="AA969" s="123"/>
      <c r="AB969" s="123"/>
    </row>
    <row r="970" spans="1:28" ht="14">
      <c r="A970" s="12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  <c r="AA970" s="123"/>
      <c r="AB970" s="123"/>
    </row>
    <row r="971" spans="1:28" ht="14">
      <c r="A971" s="12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  <c r="AA971" s="123"/>
      <c r="AB971" s="123"/>
    </row>
    <row r="972" spans="1:28" ht="14">
      <c r="A972" s="12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  <c r="AA972" s="123"/>
      <c r="AB972" s="123"/>
    </row>
    <row r="973" spans="1:28" ht="14">
      <c r="A973" s="12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  <c r="AA973" s="123"/>
      <c r="AB973" s="123"/>
    </row>
    <row r="974" spans="1:28" ht="14">
      <c r="A974" s="12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  <c r="AA974" s="123"/>
      <c r="AB974" s="123"/>
    </row>
    <row r="975" spans="1:28" ht="14">
      <c r="A975" s="12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  <c r="AA975" s="123"/>
      <c r="AB975" s="123"/>
    </row>
    <row r="976" spans="1:28" ht="14">
      <c r="A976" s="12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  <c r="Z976" s="123"/>
      <c r="AA976" s="123"/>
      <c r="AB976" s="123"/>
    </row>
    <row r="977" spans="1:28" ht="14">
      <c r="A977" s="12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  <c r="AA977" s="123"/>
      <c r="AB977" s="123"/>
    </row>
    <row r="978" spans="1:28" ht="14">
      <c r="A978" s="12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  <c r="Z978" s="123"/>
      <c r="AA978" s="123"/>
      <c r="AB978" s="123"/>
    </row>
    <row r="979" spans="1:28" ht="14">
      <c r="A979" s="12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  <c r="Z979" s="123"/>
      <c r="AA979" s="123"/>
      <c r="AB979" s="123"/>
    </row>
    <row r="980" spans="1:28" ht="14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  <c r="Z980" s="123"/>
      <c r="AA980" s="123"/>
      <c r="AB980" s="123"/>
    </row>
    <row r="981" spans="1:28" ht="14">
      <c r="A981" s="12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  <c r="Z981" s="123"/>
      <c r="AA981" s="123"/>
      <c r="AB981" s="123"/>
    </row>
    <row r="982" spans="1:28" ht="14">
      <c r="A982" s="12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  <c r="Z982" s="123"/>
      <c r="AA982" s="123"/>
      <c r="AB982" s="123"/>
    </row>
  </sheetData>
  <mergeCells count="12">
    <mergeCell ref="B11:F11"/>
    <mergeCell ref="G11:K11"/>
    <mergeCell ref="B12:K12"/>
    <mergeCell ref="B28:K28"/>
    <mergeCell ref="A2:N2"/>
    <mergeCell ref="A3:N3"/>
    <mergeCell ref="B4:C4"/>
    <mergeCell ref="B5:C5"/>
    <mergeCell ref="A6:A9"/>
    <mergeCell ref="B6:K6"/>
    <mergeCell ref="G7:K7"/>
    <mergeCell ref="B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CUADRO CONTROL PRESUPUESTAL</vt:lpstr>
      <vt:lpstr>TERPEL OC 67878- 2021 COMBUSTIB</vt:lpstr>
      <vt:lpstr>PAPELERÍA 1787-2019</vt:lpstr>
      <vt:lpstr>FERR 1616-L1-2019</vt:lpstr>
      <vt:lpstr>FERR 1616-L2-2019</vt:lpstr>
      <vt:lpstr>FERR 1616-L3-2019</vt:lpstr>
      <vt:lpstr>Hoja 43</vt:lpstr>
      <vt:lpstr>FERR 1616-2019</vt:lpstr>
      <vt:lpstr>FERR 1617-L4-2019</vt:lpstr>
      <vt:lpstr>ASEO-ASEOCOLBA 2020</vt:lpstr>
      <vt:lpstr>PRUEBA DE ASEO 2021</vt:lpstr>
      <vt:lpstr>FERR 1616-L1-2019 (1)</vt:lpstr>
      <vt:lpstr>FERR 1616-L2-2019 (1)</vt:lpstr>
      <vt:lpstr>FERR 1616-L3-2019 (1)</vt:lpstr>
      <vt:lpstr>PAPELERÍA 1787-2019 (1)</vt:lpstr>
      <vt:lpstr>VIGILANCIA 1304-2019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GENERALES</dc:creator>
  <cp:lastModifiedBy>USUARIO</cp:lastModifiedBy>
  <dcterms:created xsi:type="dcterms:W3CDTF">2023-11-15T22:19:26Z</dcterms:created>
  <dcterms:modified xsi:type="dcterms:W3CDTF">2023-11-16T21:12:32Z</dcterms:modified>
</cp:coreProperties>
</file>